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ESUMO" sheetId="1" r:id="rId1"/>
    <sheet name="LDI" sheetId="2" r:id="rId2"/>
    <sheet name="PLAN.A_Serv. Prelim." sheetId="3" r:id="rId3"/>
    <sheet name="PLAN.B_Estacionamento" sheetId="4" r:id="rId4"/>
    <sheet name="PLAN.C_SPCIP" sheetId="5" r:id="rId5"/>
    <sheet name="PLAN.D_Serv. Comp." sheetId="6" r:id="rId6"/>
    <sheet name="CRONOGRAMA" sheetId="7" r:id="rId7"/>
    <sheet name="CPU's" sheetId="8" r:id="rId8"/>
  </sheets>
  <definedNames>
    <definedName name="_xlnm.Print_Area" localSheetId="7">'CPU''s'!$B$1:$H$842</definedName>
    <definedName name="_xlnm.Print_Titles" localSheetId="7">'CPU''s'!$1:$9</definedName>
    <definedName name="_xlnm.Print_Area" localSheetId="6">'CRONOGRAMA'!$A$1:$O$125</definedName>
    <definedName name="_xlnm.Print_Titles" localSheetId="6">'CRONOGRAMA'!$1:$12</definedName>
    <definedName name="_xlnm.Print_Area" localSheetId="1">'LDI'!$A$1:$F$61</definedName>
    <definedName name="_xlnm.Print_Titles" localSheetId="1">'LDI'!$1:$8</definedName>
    <definedName name="_xlnm.Print_Area" localSheetId="2">'PLAN.A_Serv. Prelim.'!$A$1:$I$35</definedName>
    <definedName name="_xlnm.Print_Titles" localSheetId="2">'PLAN.A_Serv. Prelim.'!$1:$9</definedName>
    <definedName name="_xlnm.Print_Area" localSheetId="3">'PLAN.B_Estacionamento'!$A$1:$I$146</definedName>
    <definedName name="_xlnm.Print_Titles" localSheetId="3">'PLAN.B_Estacionamento'!$1:$9</definedName>
    <definedName name="_xlnm.Print_Area" localSheetId="4">'PLAN.C_SPCIP'!$A$1:$I$157</definedName>
    <definedName name="_xlnm.Print_Titles" localSheetId="4">'PLAN.C_SPCIP'!$1:$9</definedName>
    <definedName name="_xlnm.Print_Area" localSheetId="5">'PLAN.D_Serv. Comp.'!$A$1:$I$54</definedName>
    <definedName name="_xlnm.Print_Titles" localSheetId="5">'PLAN.D_Serv. Comp.'!$1:$9</definedName>
    <definedName name="_xlnm.Print_Area" localSheetId="0">'RESUMO'!$A$1:$F$18</definedName>
    <definedName name="_xlnm.Print_Titles" localSheetId="0">'RESUMO'!$1:$8</definedName>
    <definedName name="_xlfn_FLOOR_MATH">#N/A</definedName>
    <definedName name="Excel_BuiltIn_Print_Area" localSheetId="0">'RESUMO'!$A$1:$F$18</definedName>
    <definedName name="Excel_BuiltIn_Print_Titles" localSheetId="0">'RESUMO'!$1:$8</definedName>
    <definedName name="Excel_BuiltIn_Print_Area" localSheetId="1">'LDI'!$A$1:$F$61</definedName>
    <definedName name="Excel_BuiltIn_Print_Titles" localSheetId="1">'LDI'!$1:$8</definedName>
    <definedName name="Excel_BuiltIn_Print_Area" localSheetId="2">'PLAN.A_Serv. Prelim.'!$A$1:$I$35</definedName>
    <definedName name="Excel_BuiltIn_Print_Titles" localSheetId="2">'PLAN.A_Serv. Prelim.'!$1:$9</definedName>
    <definedName name="Excel_BuiltIn__FilterDatabase" localSheetId="2">'PLAN.A_Serv. Prelim.'!$I$11:$I$36</definedName>
    <definedName name="Excel_BuiltIn_Print_Area" localSheetId="3">'PLAN.B_Estacionamento'!$A$1:$I$146</definedName>
    <definedName name="Excel_BuiltIn_Print_Titles" localSheetId="3">'PLAN.B_Estacionamento'!$1:$9</definedName>
    <definedName name="Excel_BuiltIn__FilterDatabase" localSheetId="3">'PLAN.B_Estacionamento'!$I$11:$I$144</definedName>
    <definedName name="Excel_BuiltIn_Print_Area" localSheetId="4">'PLAN.C_SPCIP'!$A$1:$I$157</definedName>
    <definedName name="Excel_BuiltIn_Print_Titles" localSheetId="4">'PLAN.C_SPCIP'!$1:$9</definedName>
    <definedName name="Excel_BuiltIn__FilterDatabase" localSheetId="4">'PLAN.C_SPCIP'!$I$11:$I$155</definedName>
    <definedName name="Excel_BuiltIn_Print_Area" localSheetId="5">'PLAN.D_Serv. Comp.'!$A$1:$I$54</definedName>
    <definedName name="Excel_BuiltIn_Print_Titles" localSheetId="5">'PLAN.D_Serv. Comp.'!$1:$9</definedName>
    <definedName name="Excel_BuiltIn__FilterDatabase" localSheetId="5">'PLAN.D_Serv. Comp.'!$I$11:$I$52</definedName>
    <definedName name="Excel_BuiltIn_Print_Area" localSheetId="6">'CRONOGRAMA'!$A$1:$O$125</definedName>
    <definedName name="Excel_BuiltIn_Print_Titles" localSheetId="6">'CRONOGRAMA'!$1:$12</definedName>
    <definedName name="Excel_BuiltIn_Print_Area" localSheetId="7">'CPU''s'!$B$1:$H$842</definedName>
    <definedName name="Excel_BuiltIn_Print_Titles" localSheetId="7">'CPU''s'!$1:$9</definedName>
    <definedName name="Excel_BuiltIn__FilterDatabase" localSheetId="7">'CPU''s'!$C$11:$C$842</definedName>
  </definedNames>
  <calcPr fullCalcOnLoad="1"/>
</workbook>
</file>

<file path=xl/sharedStrings.xml><?xml version="1.0" encoding="utf-8"?>
<sst xmlns="http://schemas.openxmlformats.org/spreadsheetml/2006/main" count="3320" uniqueCount="1016">
  <si>
    <t>PLANILHA RESUMO</t>
  </si>
  <si>
    <t>Valor (R$)</t>
  </si>
  <si>
    <t>%</t>
  </si>
  <si>
    <t>TOTAL GERAL</t>
  </si>
  <si>
    <t>Planilha de Composição do LDI (Lucros e Despesas Indiretas) - OBRA</t>
  </si>
  <si>
    <t>GRUPO A - Despesas indiretas</t>
  </si>
  <si>
    <t>Percentual (%)</t>
  </si>
  <si>
    <r>
      <rPr>
        <b/>
        <sz val="12"/>
        <rFont val="Arial"/>
        <family val="2"/>
      </rPr>
      <t>A.1</t>
    </r>
    <r>
      <rPr>
        <sz val="12"/>
        <rFont val="Arial"/>
        <family val="2"/>
      </rPr>
      <t xml:space="preserve"> - Administração central (AC)</t>
    </r>
  </si>
  <si>
    <r>
      <rPr>
        <b/>
        <sz val="12"/>
        <rFont val="Arial"/>
        <family val="2"/>
      </rPr>
      <t xml:space="preserve">A.2 - </t>
    </r>
    <r>
      <rPr>
        <sz val="12"/>
        <rFont val="Arial"/>
        <family val="2"/>
      </rPr>
      <t>Seguros (S) + Garantia (G)</t>
    </r>
  </si>
  <si>
    <r>
      <rPr>
        <b/>
        <sz val="12"/>
        <rFont val="Arial"/>
        <family val="2"/>
      </rPr>
      <t xml:space="preserve">A.3 - </t>
    </r>
    <r>
      <rPr>
        <sz val="12"/>
        <rFont val="Arial"/>
        <family val="2"/>
      </rPr>
      <t>Risco (R)</t>
    </r>
  </si>
  <si>
    <t>Total do grupo A</t>
  </si>
  <si>
    <t>GRUPO B - Bonificação</t>
  </si>
  <si>
    <r>
      <rPr>
        <b/>
        <sz val="12"/>
        <rFont val="Arial"/>
        <family val="2"/>
      </rPr>
      <t xml:space="preserve">B.1 - </t>
    </r>
    <r>
      <rPr>
        <sz val="12"/>
        <rFont val="Arial"/>
        <family val="2"/>
      </rPr>
      <t>Lucro (L)</t>
    </r>
  </si>
  <si>
    <t>Total do grupo B</t>
  </si>
  <si>
    <t>GRUPO C - Impostos (I)</t>
  </si>
  <si>
    <r>
      <rPr>
        <b/>
        <sz val="12"/>
        <rFont val="Arial"/>
        <family val="2"/>
      </rPr>
      <t xml:space="preserve">C.1 </t>
    </r>
    <r>
      <rPr>
        <sz val="12"/>
        <rFont val="Arial"/>
        <family val="2"/>
      </rPr>
      <t>- PIS</t>
    </r>
  </si>
  <si>
    <r>
      <rPr>
        <b/>
        <sz val="12"/>
        <rFont val="Arial"/>
        <family val="2"/>
      </rPr>
      <t xml:space="preserve">C.2 </t>
    </r>
    <r>
      <rPr>
        <sz val="12"/>
        <rFont val="Arial"/>
        <family val="2"/>
      </rPr>
      <t>- CONFINS</t>
    </r>
  </si>
  <si>
    <r>
      <rPr>
        <b/>
        <sz val="12"/>
        <rFont val="Arial"/>
        <family val="2"/>
      </rPr>
      <t>C.3</t>
    </r>
    <r>
      <rPr>
        <sz val="12"/>
        <rFont val="Arial"/>
        <family val="2"/>
      </rPr>
      <t xml:space="preserve"> - ISSQN</t>
    </r>
  </si>
  <si>
    <r>
      <rPr>
        <b/>
        <sz val="12"/>
        <rFont val="Arial"/>
        <family val="2"/>
      </rPr>
      <t>C.4 -</t>
    </r>
    <r>
      <rPr>
        <sz val="12"/>
        <rFont val="Arial"/>
        <family val="2"/>
      </rPr>
      <t xml:space="preserve"> INSS (CPRB)</t>
    </r>
  </si>
  <si>
    <t>Total do grupo C</t>
  </si>
  <si>
    <t>GRUPO D - Despesas Financeiras (DF)</t>
  </si>
  <si>
    <r>
      <rPr>
        <b/>
        <sz val="12"/>
        <rFont val="Arial"/>
        <family val="2"/>
      </rPr>
      <t xml:space="preserve">D.1 - </t>
    </r>
    <r>
      <rPr>
        <sz val="12"/>
        <rFont val="Arial"/>
        <family val="2"/>
      </rPr>
      <t>Despesas Financeiras</t>
    </r>
  </si>
  <si>
    <t>Total do grupo D</t>
  </si>
  <si>
    <t>LDI (Lucros e Despesas Indiretas)</t>
  </si>
  <si>
    <t>Custos</t>
  </si>
  <si>
    <t>Valor do Custo Direto</t>
  </si>
  <si>
    <t>LDI (Lucro e Despesas Indiretas)</t>
  </si>
  <si>
    <t>Custo Total da Obra (Custo Direto + LDI)</t>
  </si>
  <si>
    <t>OBSERVAÇÕES:</t>
  </si>
  <si>
    <t>01) Os valores em percentuais para a composição analítica do LDI deverão atenderem ao Acordão TCU n° 2622/2013. O valor de ISSQN considerado de acordo com  a lei Municipal e decreto da Prefeitura de Timóteo/MG</t>
  </si>
  <si>
    <t>02) As despesas relativas aos tributos IRPJ e CSL não deverão ser incluídas no LDI, visto que, conforme entendimento firmado pelo Tribunal de Contas da União ), são tributos personalíssimos, de ônus exclusivo da proponente, os quais não devem ser repassados ao Contratante.</t>
  </si>
  <si>
    <t>03) O valor de LDI apresentado nesta planilha já está incluído nos custos unitários apresentados nas planilhas orçamentárias e cronograma.</t>
  </si>
  <si>
    <t>04) Para o cálculo do LDI considera-se a seguinte fórmula:</t>
  </si>
  <si>
    <r>
      <rPr>
        <b/>
        <sz val="10"/>
        <rFont val="Arial"/>
        <family val="2"/>
      </rPr>
      <t xml:space="preserve">                LDI (%) =((1 + AC + S + R + G) x (1 + DF) x (1+L))-1/(1 - I)   </t>
    </r>
    <r>
      <rPr>
        <sz val="10"/>
        <rFont val="Arial"/>
        <family val="2"/>
      </rPr>
      <t xml:space="preserve">    
</t>
    </r>
  </si>
  <si>
    <t>onde:                                                                                                                                                                                                                                    
AC = taxa de rateio da Administração Central;
S = taxa de seguros;
R = taxa de risco
G = taxa de garantias
DF = taxa das despesas financeiras;
L = taxa de lucro.
I = taxa de tributos;</t>
  </si>
  <si>
    <t>Planilha A - Serviços preliminares, Implantação e Serviços Técnicos</t>
  </si>
  <si>
    <t>BDI:</t>
  </si>
  <si>
    <t>Parâmetro Adotado</t>
  </si>
  <si>
    <t>Item</t>
  </si>
  <si>
    <t>Descrição dos Serviços</t>
  </si>
  <si>
    <t>Und</t>
  </si>
  <si>
    <t>Qtde</t>
  </si>
  <si>
    <t>Preço Unit. 
(c/ BDI)</t>
  </si>
  <si>
    <t>Preço Total</t>
  </si>
  <si>
    <t>Tabela referencial adotada</t>
  </si>
  <si>
    <t>Código Valor Adotado</t>
  </si>
  <si>
    <t>SERVIÇOS PRELIMINARES E SERVIÇOS TÉCNICOS</t>
  </si>
  <si>
    <t>1.1</t>
  </si>
  <si>
    <t>Implantação da obra</t>
  </si>
  <si>
    <t>1.1.1</t>
  </si>
  <si>
    <t>Mobilização e desmobilização da obra, Administração Local (inclusive pessoal local para apoio à obra), movimentações (sejam horizontais e/ou verticais/içamentos) de materiais/equipamentos na obra e instalações provisórias de elétrica e hidro-sanitárias (medição de 75% para mobilização e 25% na última medição) e transportes/fretes</t>
  </si>
  <si>
    <t>Composição</t>
  </si>
  <si>
    <t>CPU-047</t>
  </si>
  <si>
    <t>1.1.2</t>
  </si>
  <si>
    <t>Fornecimento e assentamento de placa  identificacao de obra pública em LONA COM IMPRESSÃO DIGITAL E REQUADRO EM METALON 20X20mm, afixada com peças de madeira serrada, dimensões 3,00x1,50m.</t>
  </si>
  <si>
    <t>M2</t>
  </si>
  <si>
    <t>SUDECAP/BH - Out/2022</t>
  </si>
  <si>
    <t>01.03.02</t>
  </si>
  <si>
    <t>1.1.3</t>
  </si>
  <si>
    <r>
      <rPr>
        <sz val="10"/>
        <rFont val="Arial"/>
        <family val="2"/>
      </rPr>
      <t xml:space="preserve">Aluguel de container para </t>
    </r>
    <r>
      <rPr>
        <b/>
        <sz val="10"/>
        <rFont val="Arial"/>
        <family val="2"/>
      </rPr>
      <t>escritório</t>
    </r>
    <r>
      <rPr>
        <sz val="10"/>
        <rFont val="Arial"/>
        <family val="2"/>
      </rPr>
      <t>, inclusive instalação elétrica. Larg. = 2,20m. Comp. = 6,20m. Altura = 2,50m. Chapa de aço com nervura trapezoidal. Forro com isolante termo acústico. Chassi reforçado. Piso compensado naval. Incluso mesa, cadeira, arquivo, armario, mapoteca para projeto e ar condicionado</t>
    </r>
  </si>
  <si>
    <t>MÊS</t>
  </si>
  <si>
    <t>SICOR/MG - Out/2022 - Região Leste</t>
  </si>
  <si>
    <t>ED-16348</t>
  </si>
  <si>
    <t>1.1.4</t>
  </si>
  <si>
    <r>
      <rPr>
        <sz val="10"/>
        <rFont val="Arial"/>
        <family val="2"/>
      </rPr>
      <t xml:space="preserve">Aluguel de container para </t>
    </r>
    <r>
      <rPr>
        <b/>
        <sz val="10"/>
        <rFont val="Arial"/>
        <family val="2"/>
      </rPr>
      <t>depósito</t>
    </r>
    <r>
      <rPr>
        <sz val="10"/>
        <rFont val="Arial"/>
        <family val="2"/>
      </rPr>
      <t>, inclusive instalação elétrica. Larg. = 2,20m. Comp. = 6,20m. Altura = 2,50m. Chapa de aço com nervura trapezoidal</t>
    </r>
  </si>
  <si>
    <t>ED-16350</t>
  </si>
  <si>
    <t>1.1.5</t>
  </si>
  <si>
    <r>
      <rPr>
        <sz val="10"/>
        <rFont val="Arial"/>
        <family val="2"/>
      </rPr>
      <t xml:space="preserve">Aluguel de container para </t>
    </r>
    <r>
      <rPr>
        <b/>
        <sz val="10"/>
        <rFont val="Arial"/>
        <family val="2"/>
      </rPr>
      <t>refeitório</t>
    </r>
    <r>
      <rPr>
        <sz val="10"/>
        <rFont val="Arial"/>
        <family val="2"/>
      </rPr>
      <t>, inclusive instalação elétrica. Larg. = 2,20m. Comp. = 6,20m. Altura = 2,50m. Chapa de aço com nervura trapezoidal. Forro com isolante termo acústico. Chassi reforçado. Piso compensado naval. Incluso bancos, mesas e aquecedor de marmitas</t>
    </r>
  </si>
  <si>
    <t>ED-16351</t>
  </si>
  <si>
    <t>1.1.6</t>
  </si>
  <si>
    <r>
      <rPr>
        <sz val="10"/>
        <rFont val="Arial"/>
        <family val="2"/>
      </rPr>
      <t xml:space="preserve">Aluguel de </t>
    </r>
    <r>
      <rPr>
        <b/>
        <sz val="10"/>
        <rFont val="Arial"/>
        <family val="2"/>
      </rPr>
      <t>banheiro químico</t>
    </r>
    <r>
      <rPr>
        <sz val="10"/>
        <rFont val="Arial"/>
        <family val="2"/>
      </rPr>
      <t xml:space="preserve"> 110 x 120 x 230cm com manutenção</t>
    </r>
  </si>
  <si>
    <t>ED-50155</t>
  </si>
  <si>
    <t>1.2</t>
  </si>
  <si>
    <t>Fechamento e Sinalizações</t>
  </si>
  <si>
    <t>1.2.1</t>
  </si>
  <si>
    <t xml:space="preserve">Fornecimento e instalação de tapume de vedacao ou protecao, executado com tapume ecológico em placas de 2,00m x 0,97m, H = 1,90m e espessura de 3mm (REF.: Tapume Ecológico Onduline), estrutura de fixação com pontaletes 7,5cm x 7,5cm em pinus ou equivalente. </t>
  </si>
  <si>
    <t>CPU-041</t>
  </si>
  <si>
    <t>1.2.2</t>
  </si>
  <si>
    <r>
      <rPr>
        <sz val="10"/>
        <rFont val="Arial"/>
        <family val="2"/>
      </rPr>
      <t xml:space="preserve">Fornecimento e instalação de tapume de vedacao ou protecao, executado com </t>
    </r>
    <r>
      <rPr>
        <b/>
        <sz val="10"/>
        <rFont val="Arial"/>
        <family val="2"/>
      </rPr>
      <t>tapume ecológico em placas de 2,00m x 0,97m, e espessura de 3mm (REF.: Tapume Ecológico Onduline) e tela plastica laranja, tipo tapume para sinalizacao</t>
    </r>
    <r>
      <rPr>
        <sz val="10"/>
        <rFont val="Arial"/>
        <family val="2"/>
      </rPr>
      <t>, malha retangular, estrutura de fixação com pontaletes 7,5cm x 7,5cm em pinus ou equivalente. (Altura total 1,90m - 0,97m de tapume de vedação e restante da altura em tela plástica laranja de sinalização)</t>
    </r>
  </si>
  <si>
    <t>CPU-051</t>
  </si>
  <si>
    <t>1.2.3</t>
  </si>
  <si>
    <t>Fornecimento e instalação de tapume - tela plastica laranja, tipo tapume para sinalizacao, malha retangular, altura 1.20m, inclusive dispositivos de sustetação</t>
  </si>
  <si>
    <t>M</t>
  </si>
  <si>
    <t>01.04.09</t>
  </si>
  <si>
    <t>1.2.4</t>
  </si>
  <si>
    <t>Fornecimento e instalação de cones, 75cm, com entrega dos mesmos para a unidade pós utilização</t>
  </si>
  <si>
    <t>UNID</t>
  </si>
  <si>
    <t>CPU-042</t>
  </si>
  <si>
    <t>1.2.5</t>
  </si>
  <si>
    <t>Fornecimento e instalação de fita zebrada para sinalização</t>
  </si>
  <si>
    <t>CPU-043</t>
  </si>
  <si>
    <t>1.3</t>
  </si>
  <si>
    <t>Serviços Técnicos de Apoio</t>
  </si>
  <si>
    <t>1.3.1</t>
  </si>
  <si>
    <r>
      <rPr>
        <sz val="10"/>
        <rFont val="Arial"/>
        <family val="2"/>
      </rPr>
      <t xml:space="preserve">Engenheiro civil (de obra), equivalente a 2 horas diárias, durante </t>
    </r>
    <r>
      <rPr>
        <b/>
        <sz val="10"/>
        <rFont val="Arial"/>
        <family val="2"/>
      </rPr>
      <t>toda duração da obra</t>
    </r>
    <r>
      <rPr>
        <sz val="10"/>
        <rFont val="Arial"/>
        <family val="2"/>
      </rPr>
      <t xml:space="preserve"> (com medição proporcional à medição do período)</t>
    </r>
  </si>
  <si>
    <t>CPU-048</t>
  </si>
  <si>
    <t>1.3.2</t>
  </si>
  <si>
    <r>
      <rPr>
        <sz val="10"/>
        <rFont val="Arial"/>
        <family val="2"/>
      </rPr>
      <t xml:space="preserve">Encarregado de obra, em tempo integral de serviço no canteiro de obras, durante </t>
    </r>
    <r>
      <rPr>
        <b/>
        <sz val="10"/>
        <rFont val="Arial"/>
        <family val="2"/>
      </rPr>
      <t>toda duração da obra</t>
    </r>
    <r>
      <rPr>
        <sz val="10"/>
        <rFont val="Arial"/>
        <family val="2"/>
      </rPr>
      <t xml:space="preserve"> (com medição proporcional à medição do período)</t>
    </r>
  </si>
  <si>
    <t>CPU-049</t>
  </si>
  <si>
    <t>1.3.3</t>
  </si>
  <si>
    <r>
      <rPr>
        <sz val="10"/>
        <rFont val="Arial"/>
        <family val="2"/>
      </rPr>
      <t xml:space="preserve">Serviço de limpeza permanente de obra e transportes de materiais na obra, durante </t>
    </r>
    <r>
      <rPr>
        <b/>
        <sz val="10"/>
        <rFont val="Arial"/>
        <family val="2"/>
      </rPr>
      <t xml:space="preserve">toda duração da obra </t>
    </r>
    <r>
      <rPr>
        <sz val="10"/>
        <rFont val="Arial"/>
        <family val="2"/>
      </rPr>
      <t>(com medição proporcional à medição do período)</t>
    </r>
  </si>
  <si>
    <t>CPU-050</t>
  </si>
  <si>
    <t>1.4</t>
  </si>
  <si>
    <t>Projetos</t>
  </si>
  <si>
    <t>1.4.1</t>
  </si>
  <si>
    <r>
      <rPr>
        <sz val="10"/>
        <rFont val="Arial"/>
        <family val="2"/>
      </rPr>
      <t xml:space="preserve">Elaboração de projeto executivo de </t>
    </r>
    <r>
      <rPr>
        <b/>
        <sz val="10"/>
        <rFont val="Arial"/>
        <family val="2"/>
      </rPr>
      <t>instalações hidro-sanitárias</t>
    </r>
    <r>
      <rPr>
        <sz val="10"/>
        <rFont val="Arial"/>
        <family val="2"/>
      </rPr>
      <t xml:space="preserve">, para </t>
    </r>
    <r>
      <rPr>
        <b/>
        <sz val="10"/>
        <rFont val="Arial"/>
        <family val="2"/>
      </rPr>
      <t>SISTEMA DE IRRIGAÇÃO DO ESTACIONAMENTO</t>
    </r>
    <r>
      <rPr>
        <sz val="10"/>
        <rFont val="Arial"/>
        <family val="2"/>
      </rPr>
      <t>, inclusive compabibilizações, complementações, adequações e "as built". Constituído por no mínimo os itens enunciados a seguir: apresentação de ART (Anotação de Responsabilidade Técnica) quitada. Apresentação do projeto em papel (02 cópias assinadas) e em meio eletrônico, memorial descritivo, especificações técnicas e listagem das características dimensionais, construtivas e quantitativos dos materiais a serem  utilizados. Apresentação de planta (as) baixa (as) , mostrando a posição e tipo dos diversos componentes do projeto. Apresentação de Perspectivas. Apresentação do Isométrico. Apresentação de Cortes e detalhes. (</t>
    </r>
    <r>
      <rPr>
        <u val="single"/>
        <sz val="10"/>
        <rFont val="Arial"/>
        <family val="2"/>
      </rPr>
      <t>Elaborar apenas mediante autorização expressa da FISCALIZAÇÃO</t>
    </r>
    <r>
      <rPr>
        <sz val="10"/>
        <rFont val="Arial"/>
        <family val="2"/>
      </rPr>
      <t>).</t>
    </r>
  </si>
  <si>
    <t>CPU-053</t>
  </si>
  <si>
    <t>1.4.2</t>
  </si>
  <si>
    <r>
      <rPr>
        <sz val="10"/>
        <rFont val="Arial"/>
        <family val="2"/>
      </rPr>
      <t xml:space="preserve">Elaboração de projeto executivo de </t>
    </r>
    <r>
      <rPr>
        <b/>
        <sz val="10"/>
        <rFont val="Arial"/>
        <family val="2"/>
      </rPr>
      <t>drenagem pluvial</t>
    </r>
    <r>
      <rPr>
        <sz val="10"/>
        <rFont val="Arial"/>
        <family val="2"/>
      </rPr>
      <t xml:space="preserve">, para </t>
    </r>
    <r>
      <rPr>
        <b/>
        <sz val="10"/>
        <rFont val="Arial"/>
        <family val="2"/>
      </rPr>
      <t>ESTACIONAMENTO E CALÇADAS</t>
    </r>
    <r>
      <rPr>
        <sz val="10"/>
        <rFont val="Arial"/>
        <family val="2"/>
      </rPr>
      <t>, inclusive compabibilizações, complementações, adequações e "as built". Constituído por no mínimo os itens enunciados a seguir: apresentação de ART (Anotação de Responsabilidade Técnica) quitada. Apresentação do projeto em papel (02 cópias assinadas) e em meio eletrônico, memorial descritivo, especificações técnicas e listagem das características dimensionais, construtivas e quantitativos dos materiais a serem  utilizados. Apresentação de planta (as) baixa (as) , mostrando a posição e tipo dos diversos componentes do projeto. Apresentação de Perspectivas. Apresentação do Isométrico. Apresentação de Cortes e detalhes. (</t>
    </r>
    <r>
      <rPr>
        <u val="single"/>
        <sz val="10"/>
        <rFont val="Arial"/>
        <family val="2"/>
      </rPr>
      <t>Elaborar apenas mediante autorização expressa da FISCALIZAÇÃO</t>
    </r>
    <r>
      <rPr>
        <sz val="10"/>
        <rFont val="Arial"/>
        <family val="2"/>
      </rPr>
      <t>).</t>
    </r>
  </si>
  <si>
    <t>CPU-054</t>
  </si>
  <si>
    <t>1.4.3</t>
  </si>
  <si>
    <r>
      <rPr>
        <sz val="10"/>
        <rFont val="Arial"/>
        <family val="2"/>
      </rPr>
      <t xml:space="preserve">Elaboração de projeto executivo de </t>
    </r>
    <r>
      <rPr>
        <b/>
        <sz val="10"/>
        <rFont val="Arial"/>
        <family val="2"/>
      </rPr>
      <t>estrutura de concreto armado</t>
    </r>
    <r>
      <rPr>
        <sz val="10"/>
        <rFont val="Arial"/>
        <family val="2"/>
      </rPr>
      <t xml:space="preserve">, para </t>
    </r>
    <r>
      <rPr>
        <b/>
        <sz val="10"/>
        <rFont val="Arial"/>
        <family val="2"/>
      </rPr>
      <t>CANALETAS EM CONCRETO</t>
    </r>
    <r>
      <rPr>
        <sz val="10"/>
        <rFont val="Arial"/>
        <family val="2"/>
      </rPr>
      <t>, inclusive compabibilizações, complementações, adequações e "as built". Constituído por no mínimo os itens enunciados a seguir: apresentação de ART (Anotação de Responsabilidade Técnica) quitada. Apresentação do projeto em papel (02 cópias assinadas) e em meio eletrônico, memorial descritivo, especificações técnicas e listagem das características dimensionais, construtivas e quantitativos dos materiais a serem  utilizados. Apresentação de planta (as) baixa (as) , mostrando a posição e tipo dos diversos componentes do projeto. Apresentação de Perspectivas. Apresentação do Isométrico. Apresentação de Cortes e detalhes. (Elaborar apenas mediante autorização expressa da FISCALIZAÇÃO).</t>
    </r>
  </si>
  <si>
    <t>CPU-057</t>
  </si>
  <si>
    <t>1.4.4</t>
  </si>
  <si>
    <r>
      <rPr>
        <sz val="10"/>
        <rFont val="Arial"/>
        <family val="2"/>
      </rPr>
      <t xml:space="preserve">Elaboração de </t>
    </r>
    <r>
      <rPr>
        <b/>
        <sz val="10"/>
        <rFont val="Arial"/>
        <family val="2"/>
      </rPr>
      <t>REVISÃO E ADEQUAÇÃO</t>
    </r>
    <r>
      <rPr>
        <sz val="10"/>
        <rFont val="Arial"/>
        <family val="2"/>
      </rPr>
      <t xml:space="preserve"> de projeto executivo de </t>
    </r>
    <r>
      <rPr>
        <b/>
        <sz val="10"/>
        <rFont val="Arial"/>
        <family val="2"/>
      </rPr>
      <t xml:space="preserve">prevenção e combate a incêndio </t>
    </r>
    <r>
      <rPr>
        <sz val="10"/>
        <rFont val="Arial"/>
        <family val="2"/>
      </rPr>
      <t xml:space="preserve">existente </t>
    </r>
    <r>
      <rPr>
        <b/>
        <sz val="10"/>
        <rFont val="Arial"/>
        <family val="2"/>
      </rPr>
      <t>(inclusive aprovação no CBMG)</t>
    </r>
    <r>
      <rPr>
        <sz val="10"/>
        <rFont val="Arial"/>
        <family val="2"/>
      </rPr>
      <t xml:space="preserve">, para o </t>
    </r>
    <r>
      <rPr>
        <b/>
        <sz val="10"/>
        <rFont val="Arial"/>
        <family val="2"/>
      </rPr>
      <t>CAMPUS TIMÓTEO</t>
    </r>
    <r>
      <rPr>
        <sz val="10"/>
        <rFont val="Arial"/>
        <family val="2"/>
      </rPr>
      <t>, inclusive compabibilizações, complementações, adequações e "as built". Constituído por no mínimo os itens enunciados a seguir: apresentação de ART (Anotação de Responsabilidade Técnica) quitada. Apresentação do projeto em papel (02 cópias assinadas) e em meio eletrônico, memorial descritivo, especificações técnicas e listagem das características dimensionais, construtivas e quantitativos dos materiais a serem  utilizados. Apresentação de planta (as) baixa (as) , mostrando a posição e tipo dos diversos componentes do projeto. Apresentação de Perspectivas. Apresentação do Isométrico. Apresentação de Cortes e detalhes. (</t>
    </r>
    <r>
      <rPr>
        <u val="single"/>
        <sz val="10"/>
        <rFont val="Arial"/>
        <family val="2"/>
      </rPr>
      <t>Elaborar apenas mediante autorização expressa da FISCALIZAÇÃO</t>
    </r>
    <r>
      <rPr>
        <sz val="10"/>
        <rFont val="Arial"/>
        <family val="2"/>
      </rPr>
      <t>).</t>
    </r>
  </si>
  <si>
    <t>CPU-055</t>
  </si>
  <si>
    <t>1.4.5</t>
  </si>
  <si>
    <r>
      <rPr>
        <sz val="10"/>
        <rFont val="Arial"/>
        <family val="2"/>
      </rPr>
      <t xml:space="preserve">Elaboração de </t>
    </r>
    <r>
      <rPr>
        <b/>
        <sz val="10"/>
        <rFont val="Arial"/>
        <family val="2"/>
      </rPr>
      <t>projeto executivo de terraplenagem</t>
    </r>
    <r>
      <rPr>
        <sz val="10"/>
        <rFont val="Arial"/>
        <family val="2"/>
      </rPr>
      <t xml:space="preserve">, para </t>
    </r>
    <r>
      <rPr>
        <b/>
        <sz val="10"/>
        <rFont val="Arial"/>
        <family val="2"/>
      </rPr>
      <t>ESTACIONAMENTO</t>
    </r>
    <r>
      <rPr>
        <sz val="10"/>
        <rFont val="Arial"/>
        <family val="2"/>
      </rPr>
      <t>, INCLUINDO "as built" e adequação aos elementos existentes. Constituído por no mínimo os itens enunciados a seguir. Apresentação de ART (Anotação de Responsabilidade Técnica) quitada. Apresentação do projeto em papel (02 cópias assinadas) e em meio eletrônico, memorial descritivo, especificações técnicas e listagem das características dimensionais e construtivas e levantamento do quantitativo dos materiais, levantamentos de corte, de aterro e bota-fora. Apresentação de planta (as) baixa (as) , mostrando a posição e tipo dos diversos componentes das instalações. Apresentação de Cortes, seções transversais e Detalhes. (Elaborar apenas mediante autorização expressa da FISCALIZAÇÃO).</t>
    </r>
  </si>
  <si>
    <t>CPU-044</t>
  </si>
  <si>
    <t>Planilha B - Estacionamento</t>
  </si>
  <si>
    <t>DEMOLIÇÕES, LIMPEZA DO TERRENO, MOVIMENTAÇÃO DE TERRA E LOCAÇÃO DA OBRA</t>
  </si>
  <si>
    <t>Demolições e remoções</t>
  </si>
  <si>
    <t>Remoção manual de Meio-Fio, inclusive carga e afastamento.</t>
  </si>
  <si>
    <t>ED-48472</t>
  </si>
  <si>
    <t>Remoção manual de pavimento em Blocket e Pavier existentes, inclusive carga e afastamento.</t>
  </si>
  <si>
    <t>SINAPI - Out/2022</t>
  </si>
  <si>
    <t>Demolição de piso em concreto manualmente, inclusive afastamento.</t>
  </si>
  <si>
    <t>ED-48486</t>
  </si>
  <si>
    <t>Demolição de bueiro e requadro de concreto ou aço com empilhamento para reutilização. Inclusive carga e descarga</t>
  </si>
  <si>
    <t>CJ</t>
  </si>
  <si>
    <t>CPU-013</t>
  </si>
  <si>
    <t>Demolição de bicicletário e destinação para bota-fora, inclusive carga e descarga</t>
  </si>
  <si>
    <t>CPU-014</t>
  </si>
  <si>
    <t>Remoção cuidadosa de toldo de cobertura para carros oficiais, inclusive afastamento e armazenamento para posterior instalação</t>
  </si>
  <si>
    <t>CPU-058</t>
  </si>
  <si>
    <t>Locação da obra</t>
  </si>
  <si>
    <t>Locação topográfica da obra com uso de equipamentos topográficos, inclusive topógrafo e nivelador</t>
  </si>
  <si>
    <t>CPU-015</t>
  </si>
  <si>
    <t>Movimentação de terra</t>
  </si>
  <si>
    <t>Mobilização/desmobilização dos equipamentos em geral utilizados para escavação, preparo do terreno e execução da base.</t>
  </si>
  <si>
    <t>CPU-067</t>
  </si>
  <si>
    <t>Escavação de subleito em material de 2ª categoria, inclusive escarificação, quando necessário, em trator de esteiras ou maquinário equivalente, com carga e descarga do material escavado</t>
  </si>
  <si>
    <t>M3</t>
  </si>
  <si>
    <t>Reaterro e compactação mecânica com controle do Grau de Compactação a 95% do Proctor Normal</t>
  </si>
  <si>
    <t>1.3.4</t>
  </si>
  <si>
    <t>Realização de ensaios para aterros controlados, incluindo ensaio de compactação Proctor, conforme normas da ABNT para ensaios de compactação, análise granulométrica, limite de liquidez, limite de plasticidade, umidade dos solos, para controle de compactação de aterros. Deverão ser comprovadas as características dos solos através da análise dos resultados dos ensaios específicos.</t>
  </si>
  <si>
    <t>CPU-016</t>
  </si>
  <si>
    <t>1.3.5</t>
  </si>
  <si>
    <t>Realização de ensaios para aterros controlados, ensaio de índice de suporte califórnia (ISC), conforme normas da ABNT. Deverão ser comprovadas as características dos solos através da análise dos resultados dos ensaios específicos</t>
  </si>
  <si>
    <t>ED-49566</t>
  </si>
  <si>
    <t>PEVIMENTAÇÃO, CALÇADA E DRENAGEM</t>
  </si>
  <si>
    <t>2.1</t>
  </si>
  <si>
    <t xml:space="preserve">Pavimentação </t>
  </si>
  <si>
    <t>2.1.1</t>
  </si>
  <si>
    <t>Regularização e compactação de subleito para pavimentação</t>
  </si>
  <si>
    <t>2.1.2</t>
  </si>
  <si>
    <t>Fornecimento e assentamento de meio fio em concreto, Fck &gt;= 20,0 Mpa, seção trapezoidal (12cm x 18cm x 45cm), alinhado e rejuntado, inclusive escavação, apiloamento do fundo da cava, reaterro e afastamento do material escavado</t>
  </si>
  <si>
    <t>CPU-066</t>
  </si>
  <si>
    <t>2.1.3</t>
  </si>
  <si>
    <t>Fornecimento e execução de base para pavimentação com brita corrida, inclusive compactação - H médio = 15cm</t>
  </si>
  <si>
    <t>CPU-056</t>
  </si>
  <si>
    <t>2.1.4</t>
  </si>
  <si>
    <t>Fornecimento e execução de piso intertravado, com bloco PAVI-S (8 lados), espessura 8cm, resistência de 35MPa. Incluso serviços de acabamento, compactação e colchão de areia com espessura mínima de 5cm sobre a base</t>
  </si>
  <si>
    <t>2.2</t>
  </si>
  <si>
    <t>Drenagem</t>
  </si>
  <si>
    <t>Canaleta de concreto com grelha quadriculada</t>
  </si>
  <si>
    <t>2.2.1</t>
  </si>
  <si>
    <t>Escavação manual/mecânica de material de 1ª categoria medido "in situ"</t>
  </si>
  <si>
    <t>CPU-001</t>
  </si>
  <si>
    <t>2.2.2</t>
  </si>
  <si>
    <r>
      <rPr>
        <sz val="10"/>
        <rFont val="Arial"/>
        <family val="2"/>
      </rPr>
      <t xml:space="preserve">Compactação, nivelamento e acerto de fundo de valas medido </t>
    </r>
    <r>
      <rPr>
        <i/>
        <sz val="10"/>
        <rFont val="Arial"/>
        <family val="2"/>
      </rPr>
      <t>"in situ".</t>
    </r>
  </si>
  <si>
    <t>2.2.3</t>
  </si>
  <si>
    <t>Fornecimento e execução de lastro de concreto magro, traço mínimo de 1:4:8, espessura média de 3cm</t>
  </si>
  <si>
    <t>40.09.05</t>
  </si>
  <si>
    <t>2.2.4</t>
  </si>
  <si>
    <t>Fornecimento e execução de FORMA EM MADEIRA, incluso desforma, com uso de desmoldante, madeira em tabua com reaproveitamento, com abertura (janela) para concretagem, inclusive cimbramento/escoramento e utilização de barra de ancoragem, aprumador, viga sanduiche e demais equipamentos, dispositivos e materiais necessários.</t>
  </si>
  <si>
    <t>2.2.5</t>
  </si>
  <si>
    <t>Fornecimento, corte, dobra e montagem de armações de aço CA-50/60 nas formas, inclusive instalação de espaçadores e distanciadores e ponteira de proteção com a função de prevenir acidentes de obras através da proteção de pontas dos vergalhões.</t>
  </si>
  <si>
    <t>KG</t>
  </si>
  <si>
    <t>05.05.01</t>
  </si>
  <si>
    <t>2.2.6</t>
  </si>
  <si>
    <t>Fornecimento, lançamento e execução de concreto, Fck  25 Mpa, com controle tecnológico, inclusive adensamento e cura. Considerado perdas no preço unitário.</t>
  </si>
  <si>
    <t>40.09.25</t>
  </si>
  <si>
    <t>2.2.7</t>
  </si>
  <si>
    <t>Fornecimento e instalação de grelha em ferro fundido articulada para tráfego pesado - 30x90cm), com sistema anti derrapagem.</t>
  </si>
  <si>
    <t>CPU-071</t>
  </si>
  <si>
    <t>2.2.8</t>
  </si>
  <si>
    <t>Fornecimento e instalação de grelha em ferro fundido, carga máxima 12,5T. Inclusive requadro. 300 x 1000mm. Para via de trânsito de carros</t>
  </si>
  <si>
    <t>2.2.9</t>
  </si>
  <si>
    <t>Fornecimento e instalação de grelha em ferro fundido, carga máxima 1,5T. Inclusive requadro. 200 x 1000mm. Para trânsito de pedestres</t>
  </si>
  <si>
    <t>2.2.10</t>
  </si>
  <si>
    <t>Reaterro e Compactação manual com compactador de placa vibratória (soquete vibratório), medido "in situ"</t>
  </si>
  <si>
    <t>Drenagem sob arruamento</t>
  </si>
  <si>
    <t>2.2.11</t>
  </si>
  <si>
    <t>Fornecimento e execução de poço de visita para rede pluvial em anel de concreto pré moldado, diâmetro interno = 1,0m, profundidade máxima de 2,0 metros com tampão articulado de ferro fundido, classe B125 carga máxima 12,5 toneladas. Base em concreto e rejuntamento dos aneis com argamassa 1:4</t>
  </si>
  <si>
    <t>CPU-052</t>
  </si>
  <si>
    <t>2.2.12</t>
  </si>
  <si>
    <r>
      <rPr>
        <sz val="10"/>
        <rFont val="Arial"/>
        <family val="2"/>
      </rPr>
      <t xml:space="preserve">Escavação mecânica de material para passagem das tubulações em concreto, medido </t>
    </r>
    <r>
      <rPr>
        <i/>
        <sz val="10"/>
        <rFont val="Arial"/>
        <family val="2"/>
      </rPr>
      <t>"in situ"</t>
    </r>
  </si>
  <si>
    <t>2.2.13</t>
  </si>
  <si>
    <t>Escoramento de vala com mourão roliço de mandeira e tábua não aparelhada de 2,5 x 30cm</t>
  </si>
  <si>
    <t>2.2.14</t>
  </si>
  <si>
    <r>
      <rPr>
        <sz val="10"/>
        <rFont val="Arial"/>
        <family val="2"/>
      </rPr>
      <t>Compactação, nivelamento e acerto de fundo de valas, medido "</t>
    </r>
    <r>
      <rPr>
        <i/>
        <sz val="10"/>
        <rFont val="Arial"/>
        <family val="2"/>
      </rPr>
      <t>in situ"</t>
    </r>
  </si>
  <si>
    <t>2.2.15</t>
  </si>
  <si>
    <t>Berço em concreto magro, traço mínimo de 1:4:8, para rede da drenagem pluvial</t>
  </si>
  <si>
    <t>2.2.16</t>
  </si>
  <si>
    <t>Fornecimento e assentamento de tubulação em concreto armado para drenagem pluvial - D 400mm. Inclusive içamento do material</t>
  </si>
  <si>
    <t>2.2.17</t>
  </si>
  <si>
    <t>Fornecimento e assentamento de tubulação em concreto armado para drenagem pluvial - D 600mm. Inclusive içamento do material</t>
  </si>
  <si>
    <t>2.2.18</t>
  </si>
  <si>
    <t>Reaterro mecanizado e Compactação com compactador de placa vibratória (soquete vibratório), medido "in situ"</t>
  </si>
  <si>
    <t>Canaleta meia cana</t>
  </si>
  <si>
    <t>2.2.19</t>
  </si>
  <si>
    <t>Escavação manual de material de 1ª categoria medido "in situ"</t>
  </si>
  <si>
    <t>2.2.20</t>
  </si>
  <si>
    <t>2.2.21</t>
  </si>
  <si>
    <t>Fornecimento e assentamento de canaleta meia cana pré-moldada (D=30cm), inclusive argamassa de assentamento</t>
  </si>
  <si>
    <t>2.2.22</t>
  </si>
  <si>
    <t>Fornecimento e execução de caixa passagem/inspeção, em alvenaria com tijolos cerâmicos maciços, dimensões internas 40x40x40cm, paredes internas revestidas com chapisco e reboco, com tampa em concreto armado, inclusive escavação e compactação fundo caixa e bota-fora de material exedente de escavação</t>
  </si>
  <si>
    <t>2.2.23</t>
  </si>
  <si>
    <t>Fornecimento e instalação de tubulação de PVC para água pluvial, inclusive conexões e fixações, diâmetro de 150mm</t>
  </si>
  <si>
    <t>ED-48670</t>
  </si>
  <si>
    <t>2.2.24</t>
  </si>
  <si>
    <t>2.3</t>
  </si>
  <si>
    <t>Calçada</t>
  </si>
  <si>
    <t>2.3.1</t>
  </si>
  <si>
    <t>Regularização e compactação manual com placa vibratória, preparo de terreno para calçada</t>
  </si>
  <si>
    <t>40.32.23</t>
  </si>
  <si>
    <t>2.3.2</t>
  </si>
  <si>
    <t>Fornecimento e execução de lastro com brita corrida, espalhamento manual e compactação com soquete vibratório. Altura de acordo com especificado em projeto.</t>
  </si>
  <si>
    <t>CPU-003</t>
  </si>
  <si>
    <t>2.3.3</t>
  </si>
  <si>
    <t>Fornecimento e execução de piso intertravado, com bloco PAVER RETANGULAR, 10x20cm, espessura 6cm, resistência de 35MPa. Incluso serviços de acabamento, compactação e colchão de areia com espessura mínima de 5cm sobre a base</t>
  </si>
  <si>
    <t>2.4</t>
  </si>
  <si>
    <t>Sistema de irrigação - ESTIMATIVA</t>
  </si>
  <si>
    <t>2.4.1</t>
  </si>
  <si>
    <t>Fornecimento e instalação de aspersor giratório, tipo espeto, corpo em metal, vazão de trabalho de 3,8gpm e pressão de 60psi. Inclusive todos os itens necessários para instalação. (REF.: Irrigador Aspersor Setorial Metálico Prossional Espiga)</t>
  </si>
  <si>
    <t>CPU-005</t>
  </si>
  <si>
    <t>2.4.2</t>
  </si>
  <si>
    <t>2.4.3</t>
  </si>
  <si>
    <t>Fornecimento e instalação de tubo/mangueira de polietileno 20x2,3mm (REF: Tubo de Polietileno 80 Tigre Azul 20 X 2,3MM ou superior)</t>
  </si>
  <si>
    <t>CPU-006</t>
  </si>
  <si>
    <t>2.4.4</t>
  </si>
  <si>
    <t>Fornecimento e execução de caixa passagem/inspeção, em alvenaria com tijolos cerâmicos maciços, dimensões internas 40x40x40cm, paredes internas revestidas com chapisco e reboco, SEM tampa em concreto armado, inclusive escavação e compactação fundo caixa e bota-fora de material exedente de escavação</t>
  </si>
  <si>
    <t>CPU-007</t>
  </si>
  <si>
    <t>2.4.5</t>
  </si>
  <si>
    <t>Fornecimento e instalação de registro de esfera, DN 20mm</t>
  </si>
  <si>
    <t>2.4.6</t>
  </si>
  <si>
    <t xml:space="preserve">Fornecimento e Instalação de tubulação de PVC rigido soldável para água fria, incluindo conexões 20 mm. </t>
  </si>
  <si>
    <t>10.03.01</t>
  </si>
  <si>
    <t>2.4.7</t>
  </si>
  <si>
    <t>2.5</t>
  </si>
  <si>
    <t>Paisagismo</t>
  </si>
  <si>
    <t>2.5.1</t>
  </si>
  <si>
    <t>Fornecimento e plantio de grama esmeralda, com regularização de terreno com terra vegetal. Inclusive conservação por no mínimo um mês. Incluso fornecimento da terra vegetal</t>
  </si>
  <si>
    <t>21.30.07</t>
  </si>
  <si>
    <t>2.5.2</t>
  </si>
  <si>
    <t>Execução de poda de árvores, com limpeza de galhos e retirada de parasitas, incluindo remoção de entulho do local da poda. Tronco menor que 0,20m</t>
  </si>
  <si>
    <t>2.5.3</t>
  </si>
  <si>
    <t>Execução de poda de árvores, com limpeza de galhos e retirada de parasitas, incluindo remoção de entulho do local da poda. Tronco maior ou igual a 0,20m e menor que 0,40m</t>
  </si>
  <si>
    <t>2.5.4</t>
  </si>
  <si>
    <t>Execução de poda de árvores, com limpeza de galhos e retirada de parasitas, incluindo remoção de entulho do local da poda. Tronco maior ou igual a 0,40m e menor que 0,60m</t>
  </si>
  <si>
    <t>2.5.5</t>
  </si>
  <si>
    <t>Execução de poda de árvores, com limpeza de galhos e retirada de parasitas, incluindo remoção de entulho do local da poda. Tronco maior ou igual a 0,60m</t>
  </si>
  <si>
    <t>2.5.6</t>
  </si>
  <si>
    <t>Execução de corte e supressão de árvore, inclusive remoção de raízes remanescentes</t>
  </si>
  <si>
    <t>CPU-059</t>
  </si>
  <si>
    <t>2.6</t>
  </si>
  <si>
    <t>Sinalizações viárias</t>
  </si>
  <si>
    <t>2.6.1</t>
  </si>
  <si>
    <t>Fornecimento e execução de pintura epóxi de demarcação de vaga, espessura média da faixa de 10cm, aplicação manual, cor conforme especificação em projeto</t>
  </si>
  <si>
    <t>2.6.2</t>
  </si>
  <si>
    <t>Fornecimento e execução de pintura para símbolo de vaga reservada para PNE, Idoso, Sinalizações indicativas de direção, e demais símbolos e textos necessários com tinta epóxi, aplicação manual</t>
  </si>
  <si>
    <t>CPU-004</t>
  </si>
  <si>
    <t>2.6.3</t>
  </si>
  <si>
    <t>Fornecimento e execução de pintura de faixa de pedestre ou zebrada com tinta epóxi, aplicação manual</t>
  </si>
  <si>
    <t>2.7</t>
  </si>
  <si>
    <t>Reinstalação de toldo</t>
  </si>
  <si>
    <t>Fundação - Estimativa</t>
  </si>
  <si>
    <t>2.7.1</t>
  </si>
  <si>
    <t>Fornecimento e execução de estaca broca de concreto, diâmetro de 30cm, escavação manual com trado, inteiramente armada. Concreto Fck &gt;= 20MPa, aço CA-50/60, consumo mínimo de aço de 4,50kg por metro de estaca. Incluso escavação, concreto e aço.</t>
  </si>
  <si>
    <t>2.7.2</t>
  </si>
  <si>
    <t>Fornecimento e instalação de chumbador para recebimento da estrutura dos toldos.</t>
  </si>
  <si>
    <t>CPU-068</t>
  </si>
  <si>
    <t>Instalação e troca de lona</t>
  </si>
  <si>
    <t>2.7.3</t>
  </si>
  <si>
    <t>Reinstlação de toldo de cobertura para carros oficiais</t>
  </si>
  <si>
    <t>CPU-061</t>
  </si>
  <si>
    <t>2.7.4</t>
  </si>
  <si>
    <t>Fornecimento e instalação de Tela de Sombreamento, acabamento e bainha com fio reforçado, resistência à radiação ultra violeta e demais itens necessários à instalação</t>
  </si>
  <si>
    <t>CPU-062</t>
  </si>
  <si>
    <t>INSTALAÇÕES ELÉTRICAS E ILUMINAÇÃO</t>
  </si>
  <si>
    <t>3.1</t>
  </si>
  <si>
    <t>Abertura de valas, caixas e postes</t>
  </si>
  <si>
    <t>Eletrodutos</t>
  </si>
  <si>
    <t>3.1.1</t>
  </si>
  <si>
    <t>3.1.2</t>
  </si>
  <si>
    <r>
      <rPr>
        <sz val="10"/>
        <rFont val="Arial"/>
        <family val="2"/>
      </rPr>
      <t xml:space="preserve">Fornecimento e instalação de Duto flexível impermeável, corrugado, para cabos subterrâneos, fabricado em polietileno de alta densidade, cor cinza, fornecido com guia, </t>
    </r>
    <r>
      <rPr>
        <b/>
        <sz val="10"/>
        <rFont val="Arial"/>
        <family val="2"/>
      </rPr>
      <t>diâmetro nominal DN Ø2" (duas polegadas)</t>
    </r>
    <r>
      <rPr>
        <sz val="10"/>
        <rFont val="Arial"/>
        <family val="2"/>
      </rPr>
      <t>. O material deverá atender aos valores mínimos solicitados pelas normas técnicas referentes aos esforços de compressão diametral onde o duto não poderá sofrer uma deformação maior que 5% em relação ao seu diâmetro externo quando submetido a uma força de compressão de 100 N. . Inclusive tampão/terminal (Para instalação das luminárias decorativas externas)</t>
    </r>
  </si>
  <si>
    <t>3.1.3</t>
  </si>
  <si>
    <t>Envelopamento em concreto magro, traço mínimo de 1:4:8, para proteção das tubulações enterradas</t>
  </si>
  <si>
    <t>3.1.4</t>
  </si>
  <si>
    <t>Caixas</t>
  </si>
  <si>
    <t>3.1.5</t>
  </si>
  <si>
    <t>Fornecimento e execução de caixa em bloco de concreto 28 x 28 x 40 cm (interna) tipo ZA padrão CEMIG, incluso tampa de concreto com fabricação no local</t>
  </si>
  <si>
    <t>3.1.6</t>
  </si>
  <si>
    <t>Fornecimento e execução de caixa em bloco de concreto 52 x 44 x 70 cm (interna) tipo ZB padrão CEMIG, incluso tampa de concreto com fabricação no local</t>
  </si>
  <si>
    <t>Postes</t>
  </si>
  <si>
    <t>3.1.7</t>
  </si>
  <si>
    <t>Remoção dos postes galvanizados, de 6,0m de altura, inclusive demolição da base (Postes existentes no local, com reaproveitamento)</t>
  </si>
  <si>
    <t>CPU-009</t>
  </si>
  <si>
    <t>3.1.8</t>
  </si>
  <si>
    <t>Fornecimento e instalação de conjunto de chumbadores intertravados para postes com altura total até 7,5m. Dimensões: 1" x 1" x 600 mm (LxPxA). Parafusos: M19, com comprimento de 500 mm, em aço laminado A36, com roscas "oversize", dobrados na base. Intertravamento: chapas de aço galvanizado 1010/1020, com espessura mínima de 3 mm soldadas aos parafusos em dois níveis e na base (união das pontas dos parafusos opostos). Porcas e contraporcas compatíveis. Tratamento: galvanização a fogo por imersão a quente, interna e externamente, incluindo escavação (Fundação: Ø45 cm x 1,60m), armadura (AÇO CA-50: Longitudinal = 4Ø10.0 comprimento de 1,5m) e concreto Fck 20 Mpa.</t>
  </si>
  <si>
    <t>CPU-010</t>
  </si>
  <si>
    <t>3.1.9</t>
  </si>
  <si>
    <t>Assentamento de postes galvanizados, com altura de 6,0m (Postes existentes no local, que serão realocados)</t>
  </si>
  <si>
    <t>CPU-011</t>
  </si>
  <si>
    <t>3.1.10</t>
  </si>
  <si>
    <t>Fornecimento e instalação de Braço curvo: Confeccionado em tubo de aço galvanizado de diâmetro externo 33,7 mm e parede com espessura mínima de 2,0 mm, tubo sem emendas, Com comprimento de 2,0 m com projeção na horizontal de 1579,7 mm e projeção na vertical de 1123,5 mm. Com sapata mínimo 300 mm comprimento, distância entre furos da sapata 200mm, fixação em perfil de ferro “U” 76X38 mm na espessura mínima 3 mm, com chapa soldada de reforço, com dois furos de 18 mm. Deve ser fornecedor aprovado de materiais para iluminação pública, conforme GED 5151.</t>
  </si>
  <si>
    <t>3.1.11</t>
  </si>
  <si>
    <t>Fornecimento e instalação de poste telefônico escalonado reto com altura últil de 6,00m. Construção: tubo de aço galvanizado DIN 2440, com espessura mínima de 3 mm; diâmetro da base: 90 mm; diâmetro do topo: 60,3 mm; número de estágios: 3; redução do diâmetro através de processo de prensagem hidráulica. Base tipo flange, quadrada, com dimensões de 300 x 300 mm e espessura mínima de 9 mm. Tratamento: galvanização a fogo por imersão a quente, interna e externamente. Previsão para instalação de iluminação de segundo estágio a 3,5 m de altura, com furo para passagem de cabos e fixação por dois parafusos (roscas soldadas internamente). Passagem de cabos interna.</t>
  </si>
  <si>
    <t>CPU-012</t>
  </si>
  <si>
    <t>3.2</t>
  </si>
  <si>
    <t>Cabos e condutores</t>
  </si>
  <si>
    <t>3.2.1</t>
  </si>
  <si>
    <t>Fornecimento e instalação de cabo de cobre flexível isolado, 2,5 mm2, anti-chama 0,6/1,0KV para condutor FASE, isolamento duplo HEPR, sem chumbo, não propagante de chama, baixa emissão de fumaças e gases tóxicos, segundo orientações de cores e outras diretrizes da NBR 5410/2004</t>
  </si>
  <si>
    <t>3.2.2</t>
  </si>
  <si>
    <t>Fornecimento e instalação de cabo de cobre flexível isolado, 2,5 mm2, anti-chama 0,6/1,0KV para condutor TERRA - verde/verde e amarelo, isolamento duplo HEPR, sem chumbo, não propagante de chama, baixa emissão de fumaças e gases tóxicos, segundo orientações de cores e outras diretrizes da NBR 5410/2004</t>
  </si>
  <si>
    <t>3.3</t>
  </si>
  <si>
    <t>Quadros, disjuntores, eletrocalhas, eletrodutos e perfilados</t>
  </si>
  <si>
    <t>3.3.1</t>
  </si>
  <si>
    <t>Fornecimento e instalação de disjuntor bifásico, 220V, 10A, DIN, curva B, 3KA (Para circuitos de iluminação do estacionamento, montados em quadros já existente na Portaria)</t>
  </si>
  <si>
    <t>UN</t>
  </si>
  <si>
    <t>3.3.2</t>
  </si>
  <si>
    <t>Fornecimento e instalação de etiqueta de identificação dos números das tomadas de cabeamento estruturado (tamanho mínimo de 250mm) - pacote com 500 unidades</t>
  </si>
  <si>
    <t>PÇ</t>
  </si>
  <si>
    <t>ED-48362</t>
  </si>
  <si>
    <t>3.4</t>
  </si>
  <si>
    <t>Iluminação</t>
  </si>
  <si>
    <t>3.4.1</t>
  </si>
  <si>
    <t>Fornecimento e instalação de Luminaria publica, fixacao lateral para ponta de braco de 25,4mm a 48,3mm. Corpo de aluminio injetado. Fechamento do conjunto optico em Policarbonato Transparente Lenticular, IK09, classe I, IP66. Com filtro de alivio de pressao. Tensao de alimentacao de 108 a 305Vac/50-60Hz (Com tomada). Optica para iluminacao publica, temperatura de cor 5.000K. Manutencao do fluxo luminoso de 102.000 horas (L70).  Driver de corrente constante incorporado a luminaria. Equipamento de protecao contra sobretensoes de 10kV/12kA ligado em serie. Potencias de 80W. Fluxo luminoso de 9.730 lm. Sistema de refrigeracao por aletas de dissipacao de calor incorporadas ao corpo da luminaria. Referência: TAU TECNOWATT (Para montagem na área nova do estacionamento e substituição das luminárias frontais ao BLOCO A perto da portaria).</t>
  </si>
  <si>
    <t>3.4.2</t>
  </si>
  <si>
    <t>Fornecimento e instalação de luminária refletor de LED na cor Preta, fabricado em alumínio injetado, grau de proteção IP66, potência de 10W, temperatura de cor 3000K (Branco quente), 950 lumens. Bivolt - Referência: Philips (Para utilização na iluminação das árvores, montadas no piso)</t>
  </si>
  <si>
    <t>CPU-008</t>
  </si>
  <si>
    <t>3.4.3</t>
  </si>
  <si>
    <t>Fornecimento e instalação Relé fotoelétrico corpo e tampa de polipropileno estabilizado contra radiações UV, com suporte de fixação, contatos de encaixe de latão estanhado, princípio de funcionamento eletromagnético, acionamento instantâneo, contato de carga do tipo normalmente fechado, proteção contra surtos de tensão do tipo varistor, tensão nominal de 220 V, frequência 50/60 Hz com capacidade de carga de 1000 W, 1800 VA. Faixa de operação segundo a ABNT NBR 5123, grau de proteção IP54.</t>
  </si>
  <si>
    <t>ED-49524</t>
  </si>
  <si>
    <t>3.5</t>
  </si>
  <si>
    <t>Rebaixamento rede de dados e infraestrutura de interligação entre Bloco A e parte superior do campus - ESTIMATIVA</t>
  </si>
  <si>
    <t>3.5.1</t>
  </si>
  <si>
    <t>3.5.2</t>
  </si>
  <si>
    <t>3.5.3</t>
  </si>
  <si>
    <t>3.5.4</t>
  </si>
  <si>
    <t>3.5.5</t>
  </si>
  <si>
    <t>3.5.6</t>
  </si>
  <si>
    <t>Fornecimento e instalação de Cabo óptico tipo “tight” constituído por fibras SM(monomodo), com revestimento primário em acrilato e revestimento secundário em material polimérico colorido (900 µm), reunidas e revestidas por fibras sintéticas dielétricas para suporte mecânico (resistência à tração) e cobertas por capa externa em polímero para uso interno e externo. Não propagante a chama e resistên+D84te a fungos e raios ultra-violeta. Deve possuir elementos que tornem a fibra resistênte a tração(mínimo de 150kgf) e o conjunto deve ser protegido contra penetração de água. Deve conter 6 fibras internas monomodo de 9 µm. Designação ABNT: CFOT-SM-EO-06. Referência: Furukawa 28070005.</t>
  </si>
  <si>
    <t>CPU-070</t>
  </si>
  <si>
    <t>3.5.7</t>
  </si>
  <si>
    <t>Execução de serviço de fusão e certificação da fibra óptica com emissão de relatórios (impresso e arquivo eletrônico), inclusive todos os materiais necessários.</t>
  </si>
  <si>
    <t>CPU-072</t>
  </si>
  <si>
    <t>3.6</t>
  </si>
  <si>
    <t>Rebaixamento da rede elétrica de alimentação entre os Blocos A e B</t>
  </si>
  <si>
    <t>3.6.1</t>
  </si>
  <si>
    <t>Execução de serviço de retirada dos cabos existentes e recolocação</t>
  </si>
  <si>
    <t>CPU-075</t>
  </si>
  <si>
    <t>3.6.2</t>
  </si>
  <si>
    <t>3.6.3</t>
  </si>
  <si>
    <r>
      <rPr>
        <sz val="10"/>
        <rFont val="Arial"/>
        <family val="2"/>
      </rPr>
      <t xml:space="preserve">Fornecimento e instalação de Duto flexível impermeável, corrugado, para cabos subterrâneos, fabricado em polietileno de alta densidade, cor cinza, fornecido com guia, </t>
    </r>
    <r>
      <rPr>
        <b/>
        <sz val="10"/>
        <rFont val="Arial"/>
        <family val="2"/>
      </rPr>
      <t>diâmetro nominal DN Ø4" (duas polegadas)</t>
    </r>
    <r>
      <rPr>
        <sz val="10"/>
        <rFont val="Arial"/>
        <family val="2"/>
      </rPr>
      <t>. O material deverá atender aos valores mínimos solicitados pelas normas técnicas referentes aos esforços de compressão diametral onde o duto não poderá sofrer uma deformação maior que 5% em relação ao seu diâmetro externo quando submetido a uma força de compressão de 100 N. . Inclusive tampão/terminal (Para instalação das luminárias decorativas externas)</t>
    </r>
  </si>
  <si>
    <t>3.6.4</t>
  </si>
  <si>
    <t>3.6.5</t>
  </si>
  <si>
    <t>3.6.6</t>
  </si>
  <si>
    <t>3.6.7</t>
  </si>
  <si>
    <t>Fornecimento e instalação de cabo de cobre flexível isolado, 150 mm2, anti-chama 0,6/1,0KV, segundo orientações de cores e outras diretrizes da NBR 5410/2004, isolação em em HEPR, não propagante de chama, baixa emissão de fumaças e gases tóxicos.</t>
  </si>
  <si>
    <t>3.6.8</t>
  </si>
  <si>
    <t>Fornecimento e instalação de cabo de cobre flexível isolado, 95 mm2, anti-chama 0,6/1,0KV, segundo orientações de cores e outras diretrizes da NBR 5410/2004, isolação em em HEPR, não propagante de chama, baixa emissão de fumaças e gases tóxicos.</t>
  </si>
  <si>
    <t>3.6.9</t>
  </si>
  <si>
    <t>Fornecimento e execução de instalação de cabo flexível de 150 mm2 no disjuntor geral do QDC ou execução de serviço de emenda, inclusive terminal de compressão e demais itens necessários para execução do serviço</t>
  </si>
  <si>
    <t>CPU-073</t>
  </si>
  <si>
    <t>3.6.10</t>
  </si>
  <si>
    <t>Fornecimento e execução de instalação de cabo flexível de 95 mm2 no disjuntor geral do QDC ou execução de serviço de emenda, inclusive terminal de compressão e demais itens necessários para execução do serviço</t>
  </si>
  <si>
    <t>CPU-074</t>
  </si>
  <si>
    <t>BICICLETÁRIO</t>
  </si>
  <si>
    <t>4.1</t>
  </si>
  <si>
    <t>Base - Estimativa</t>
  </si>
  <si>
    <t>4.1.1</t>
  </si>
  <si>
    <t>4.1.2</t>
  </si>
  <si>
    <t>4.2</t>
  </si>
  <si>
    <t>Bicicletário</t>
  </si>
  <si>
    <t>4.2.1</t>
  </si>
  <si>
    <t>Fornecimento e instalação de bicicletário de chão, fabricado em aço e acabamento em pintura epóxi, próprio para utilização em ambientes externos. (REF.: Bicicletário de chão - A-115 - Altmayer ou equivalente)</t>
  </si>
  <si>
    <t>CPU-017</t>
  </si>
  <si>
    <t>LIMPEZA GERAL E BOTA-FORA DE MATERIAIS</t>
  </si>
  <si>
    <t>5.1</t>
  </si>
  <si>
    <t>Limpeza geral e bota-fora de materiais</t>
  </si>
  <si>
    <t>5.1.1</t>
  </si>
  <si>
    <t>Bota-fora com CARGA manual/mecânica proveniente das escavações, movimentações de terra e entulhos em geral, inclusive transporte horizontal e vertical no interior da obra com carga em caminhão caçamba, transporte e descarga em local autorizado pela Prefeitura (MOVIMENTAÇÃO EM CAMINHÃO BASCULANTE)</t>
  </si>
  <si>
    <t>CPU-002</t>
  </si>
  <si>
    <t>5.1.2</t>
  </si>
  <si>
    <t>Bota-fora em caçamba alugada, inclusive transporte horizontal e vertical no interior da obra e carga. (MOVIMENTAÇÃO EM CAÇAMBA ALUGADA)</t>
  </si>
  <si>
    <t>CPU-069</t>
  </si>
  <si>
    <t>Planilha C - Adequação do Sistema de Prevenção e Combate e Incêndio e Pânico (SPCIP) do Campus</t>
  </si>
  <si>
    <t>BLOCO A - Prédio 01</t>
  </si>
  <si>
    <t>Placas de Sinalização</t>
  </si>
  <si>
    <t>Fornecimento e instalação de Placa de Sinalização - S2 - SAÍDA DE EMERGÊNCIA - Indicação de sentido (Esquerda ou Direita)</t>
  </si>
  <si>
    <t>ED-50201</t>
  </si>
  <si>
    <t>Fornecimento e instalação de Placa de Sinalização - S9 - SAÍDA DE EMERGÊNCIA - Indicação do sentido de fuga no interior das escadas</t>
  </si>
  <si>
    <t>ED-50203</t>
  </si>
  <si>
    <t>Fornecimento e instalação de Placa de Sinalização - S12 - SAÍDA DE EMERGÊNCIA - Indicação de saída de emergência (Seta ou imagem, ou ambos)</t>
  </si>
  <si>
    <t>ED-50205</t>
  </si>
  <si>
    <t>Fornecimento e instalação de Placa de Sinalização - P4 - SINALIZAÇÃO DE PROIBIÇÃO - Proibido utilizar elevador em caso de incêndio</t>
  </si>
  <si>
    <t>ED-50207</t>
  </si>
  <si>
    <t>Fornecimento e instalação de Placa de Sinalização - PLACA HIDRANTE, 30x30cm, fundo vermelho, pictograma fotoluminescente</t>
  </si>
  <si>
    <t>ED-50200</t>
  </si>
  <si>
    <t>Fornecimento e instalação de Placa de Sinalização - PLACA EXTINTOR, 30x30cm, fundo vermelho, pictograma fotoluminescente</t>
  </si>
  <si>
    <t>ED-50199</t>
  </si>
  <si>
    <t>1.1.7</t>
  </si>
  <si>
    <t>Fornecimento e instalação de Placa de Sinalização - PLACA ALARME DE, fundo vermelho, pictograma fotoluminescente</t>
  </si>
  <si>
    <t>CPU-021</t>
  </si>
  <si>
    <t>1.1.8</t>
  </si>
  <si>
    <t>Fornecimento e instalação de Placa de Sinalização - PLACA SIRENE</t>
  </si>
  <si>
    <t>CPU-022</t>
  </si>
  <si>
    <t>Sistema de Hidrantes (Não incluso tubulações e acessórios)</t>
  </si>
  <si>
    <t>Fornecimento e instalação de abrigo para hidrante com pintura eletrostática vermelha, tipo embutir, em chapa dobrada # 20 MSG, nas dimensões (60x90x17)cm. Inclusive registro globo angular 45º Ø63mm, adaptador Ø63mm, RSF x engate rápido Ø38mm, mangueira de fibra sintética com revestimento interno de borracha, Ø38mm e comprimento de 30m (2 de 15m) tipo 2 - NBR 11.861/ABNT, esguicho cônico, tipo angulheta, Ø38mm e junta de engate rápido, requinte Ø13mm, cesto basculante, visor de vidro e chaves para conexões de engate rápido Ø63x38mm. Incluso rasgo em alvenaria e assentamento com argamassa 1:4</t>
  </si>
  <si>
    <t>CPU-023</t>
  </si>
  <si>
    <t>Extintores</t>
  </si>
  <si>
    <t>Fornecimento e instalação de extintor de incêndio portátil com carga de PQS de 6KG, classe BC. Inclusive suporte e fixação em parede</t>
  </si>
  <si>
    <t>Sistema de alarme (Não incluso instalações elétricas)</t>
  </si>
  <si>
    <t>Painel central de alarme de incêndio convencional, 100/220V, BIVOLT automático, tensão de funcionamento 24VDC, saída auxiliar de relé, com 24 laços, cada laço suportando até 20 dispositivos, tamanho aproximado de 240x290x100mm, modelo de sobrepor em alvenaria. Forma de detecção por resistência no laço, painel com LED's, temporização para disparo de alarme geral, chave bloquio de teclado. Proteção contra surtos. REF.: Segurimax ou superior</t>
  </si>
  <si>
    <t>CPU-024</t>
  </si>
  <si>
    <t>Fornecimento e instalação de acionador manual de alarme de incêndio, tipo botoeira</t>
  </si>
  <si>
    <t>ED-50180</t>
  </si>
  <si>
    <t>Fornecimento e instalação de sirene para alarme de incêndio</t>
  </si>
  <si>
    <t>ED-50187</t>
  </si>
  <si>
    <t>1.5</t>
  </si>
  <si>
    <t>Iluminação de emergência</t>
  </si>
  <si>
    <t>1.5.1</t>
  </si>
  <si>
    <t>Fornecimento e instalação de luminária de emergência autônoma IE-16 com lâmpada 30 LED's de 2W, bateria de lítio, autonomia de 6 horas, mínimo 5 LUX</t>
  </si>
  <si>
    <t>BLOCO B - Prédio 02</t>
  </si>
  <si>
    <t>Fornecimento e instalação de Placa de Sinalização - S3 - SAÍDA DE EMERGÊNCIA - Indicação de uma saída de emergência a ser afixada acima da porta</t>
  </si>
  <si>
    <t>2.1.5</t>
  </si>
  <si>
    <t>Fornecimento e instalação de Placa de Sinalização - A2 - SINALIZAÇÃO DE ALERTA - Cuidado, risco de incêndio</t>
  </si>
  <si>
    <t>ED-50206</t>
  </si>
  <si>
    <t>2.1.6</t>
  </si>
  <si>
    <t>Fornecimento e instalação de Placa de Sinalização - A5 - SINALIZAÇÃO DE ALERTA - Cuidado, risco de choque elétrico</t>
  </si>
  <si>
    <t>2.1.7</t>
  </si>
  <si>
    <t>Fornecimento e instalação de Placa de Sinalização - P1 - SINALIZAÇÃO DE PROIBIÇÃO - Proibido fumar</t>
  </si>
  <si>
    <t>2.1.8</t>
  </si>
  <si>
    <t>Fornecimento e instalação de Placa de Sinalização - P2 - SINALIZAÇÃO DE PROIBIÇÃO - Proibido produzir chama</t>
  </si>
  <si>
    <t>2.1.9</t>
  </si>
  <si>
    <t>2.1.10</t>
  </si>
  <si>
    <t>Fornecimento e instalação de Placa de Sinalização - M1 - MENSAGENS ESCRITAS - Indicação dos sistemas de proteção contra incêndio existentes na edificação</t>
  </si>
  <si>
    <t>CPU-018</t>
  </si>
  <si>
    <t>2.1.11</t>
  </si>
  <si>
    <t>Fornecimento e instalação de Placa de Sinalização - M2 - MENSAGENS ESCRITAS - Indicação da lotação máxima admitida no recinto de reunião de público</t>
  </si>
  <si>
    <t>CPU-019</t>
  </si>
  <si>
    <t>2.1.12</t>
  </si>
  <si>
    <t>Fornecimento e instalação de Placa de Sinalização - M7 - MENSAGENS ESCRITAS - Manter a porta aberta durante o uso da edificação</t>
  </si>
  <si>
    <t>CPU-020</t>
  </si>
  <si>
    <t>2.1.13</t>
  </si>
  <si>
    <t>2.1.14</t>
  </si>
  <si>
    <t>2.1.15</t>
  </si>
  <si>
    <t>2.1.16</t>
  </si>
  <si>
    <t>Fornecimento e instalação de mangueira de fibra sintética com revestimento interno de borracha, Ø38mm e comprimento de 15m, tipo 2 - NBR 11.861/ABNT, inclusive uniões de engate rápido</t>
  </si>
  <si>
    <t>CPU-025</t>
  </si>
  <si>
    <t>Fornecimento e instalação de acionador manual de bomba de incêndio (REF.: Intelbras ou superior)</t>
  </si>
  <si>
    <t>CPU-026</t>
  </si>
  <si>
    <t>Fornecimento e instalação de abrigo para extintor em chapa #18, pintada com esmalte sintético vermelho, aletas de ventilação, suporte para fixação na parede e visor em acrílico</t>
  </si>
  <si>
    <t>CPU-027</t>
  </si>
  <si>
    <t>VESTIÁRIO DOS FUNCIONÁRIOS - Prédio 03</t>
  </si>
  <si>
    <t>GINÁSIO - Prédio 05</t>
  </si>
  <si>
    <t>4.3</t>
  </si>
  <si>
    <t>4.3.1</t>
  </si>
  <si>
    <t>4.3.2</t>
  </si>
  <si>
    <t>Fornecimento e instalação de luminária autônoma de emergência, com 2 refletores de longo alcance, 1.200 lumens</t>
  </si>
  <si>
    <t>CPU-028</t>
  </si>
  <si>
    <t>CASA DE BOMBAS - Prédio 06</t>
  </si>
  <si>
    <t>5.2</t>
  </si>
  <si>
    <t>Sistema de Hidrantes</t>
  </si>
  <si>
    <t>5.2.1</t>
  </si>
  <si>
    <t>Fornecimento e instalação de eletrobomba, motor 5 CV, 220 V, trifásica (REF.: MODELO THEBE THSI-18 5.0 CV TRIF OU SIMILAR)</t>
  </si>
  <si>
    <t>CPU-032</t>
  </si>
  <si>
    <t>5.2.2</t>
  </si>
  <si>
    <t>Fornecimento e instalação de manômetro willy, mod. 2.1/2", escala de leitura de 0 a 100 PSI</t>
  </si>
  <si>
    <t>ED-50198</t>
  </si>
  <si>
    <t>5.2.3</t>
  </si>
  <si>
    <t>Fornecimento e instalação de pressostato com ajuste duplo e intependente de 10 a 145 PCI</t>
  </si>
  <si>
    <t>CPU-033</t>
  </si>
  <si>
    <t>5.2.4</t>
  </si>
  <si>
    <t>Fornecimento e instalação de Cilindro de pressão ou mola pneumática de diâmetro 150mm, comprimento de 1,20m com garras de fixação na parede.</t>
  </si>
  <si>
    <t>ED-50186</t>
  </si>
  <si>
    <t>5.2.5</t>
  </si>
  <si>
    <t>Fornecimento e instalação de registro de gaveta, diâmetro 63mm (2.1/2"), em bronze, para casa de bombas</t>
  </si>
  <si>
    <t>ED-50211</t>
  </si>
  <si>
    <t>5.2.6</t>
  </si>
  <si>
    <t>Fornecimento e instalação de Válvula de retenção horizontal, tipo portinhola, diâmetro 63mm (2.1/2"), em bronze, para casa de bombas</t>
  </si>
  <si>
    <t>UND</t>
  </si>
  <si>
    <t>5.2.7</t>
  </si>
  <si>
    <t>Fornecimento e instalação de Válvula de retenção horizontal, diâmetro 13mm (1/2"), em bronze</t>
  </si>
  <si>
    <t>5.2.8</t>
  </si>
  <si>
    <t>Fornecimento e instalação do Quadro da Casa de Bombas (QCB) conforme especificação técnica e projeto</t>
  </si>
  <si>
    <t>5.2.9</t>
  </si>
  <si>
    <t>Fornecimento e instalação de registro tipo globo, DN 1" (25mm), PN16, em latão com volante, extremidades roscadas</t>
  </si>
  <si>
    <t>ED-50210</t>
  </si>
  <si>
    <t>5.2.10</t>
  </si>
  <si>
    <t>Fornecimento e instalação de registro tipo globo, DN 1/2" (13mm), PN16, em latão com volante, extremidades roscadas</t>
  </si>
  <si>
    <t>10.90.15</t>
  </si>
  <si>
    <t>5.2.11</t>
  </si>
  <si>
    <t>5.3</t>
  </si>
  <si>
    <t>5.3.1</t>
  </si>
  <si>
    <t>5.3.2</t>
  </si>
  <si>
    <t>5.4</t>
  </si>
  <si>
    <t>5.4.1</t>
  </si>
  <si>
    <t>5.5</t>
  </si>
  <si>
    <t>Pintura da Casa de Bombas e Caixa D'água</t>
  </si>
  <si>
    <t>5.5.1</t>
  </si>
  <si>
    <t>Execução de limpeza de superfícies com jato de alta pressão, ou técnica equivalente, para preparação para pintura.</t>
  </si>
  <si>
    <t>5.5.2</t>
  </si>
  <si>
    <t>Fornecimento e aplicação de selador acrílico em parede, uma demão.</t>
  </si>
  <si>
    <t>5.5.3</t>
  </si>
  <si>
    <t>Fornecimento e aplicação de pintura acrílica lavável, mínimo 2 demãos, em paredes.</t>
  </si>
  <si>
    <t>5.5.4</t>
  </si>
  <si>
    <t>Fornecimento e aplicação de selador acrílico em teto, uma demão.</t>
  </si>
  <si>
    <t>5.5.5</t>
  </si>
  <si>
    <t>Fornecimento e aplicação de pintura acrílica lavável, mínimo 2 demãos, em teto</t>
  </si>
  <si>
    <t>5.5.6</t>
  </si>
  <si>
    <t>Fornecimento e aplicação de pintura com tinta alquídica (esmalte sintético acetinado), mínimo 2 demãos, em superfícies metálicas</t>
  </si>
  <si>
    <t>PORTARIA - Prédio 07</t>
  </si>
  <si>
    <t>6.1</t>
  </si>
  <si>
    <t>6.1.1</t>
  </si>
  <si>
    <t>6.1.2</t>
  </si>
  <si>
    <t>6.1.3</t>
  </si>
  <si>
    <t>6.1.4</t>
  </si>
  <si>
    <t>6.2</t>
  </si>
  <si>
    <t>6.2.1</t>
  </si>
  <si>
    <t>6.3</t>
  </si>
  <si>
    <t>6.3.1</t>
  </si>
  <si>
    <t>INSTALAÇÕES ELÉTRICAS</t>
  </si>
  <si>
    <t>7.1</t>
  </si>
  <si>
    <t>Caixas, conduletes, eletrodutos, perfilados e acessórios</t>
  </si>
  <si>
    <t>7.1.1</t>
  </si>
  <si>
    <t>Fornecimento e instalação de eletroduto galvanizado leve de 3/4" (20mm), inclusive conexões (curvas, luvas e buchas) e acessorios de fixação (abraçadeiras, parafusos, arruelas etc).</t>
  </si>
  <si>
    <t>ED-49317</t>
  </si>
  <si>
    <t>7.1.2</t>
  </si>
  <si>
    <t>Fornecimento e instalação de condulete tipo C, aluminio, para eletroduto 3/4", com tampas (cega ou para tomadas) e acessorios para Fixação (buchas, parafusos e arruelas).</t>
  </si>
  <si>
    <t>7.1.3</t>
  </si>
  <si>
    <t>Fornecimento e instalação de condulete tipo E, aluminio, para eletroduto 3/4", com tampas (cega ou para tomadas) e acessorios para Fixação (buchas, parafusos e arruelas).</t>
  </si>
  <si>
    <t>7.1.4</t>
  </si>
  <si>
    <t>Fornecimento e instalação de condulete tipo LB, aluminio, para eletroduto 3/4", com tampas (cega ou para tomadas) e acessorios para Fixação (buchas, parafusos e arruelas).</t>
  </si>
  <si>
    <t>CPU-034</t>
  </si>
  <si>
    <t>7.1.5</t>
  </si>
  <si>
    <t>Fornecimento e instalação de condulete tipo LL, aluminio, para eletroduto 3/4", com tampas (cega ou para tomadas) e acessorios para Fixação (buchas, parafusos e arruelas).</t>
  </si>
  <si>
    <t>CPU-035</t>
  </si>
  <si>
    <t>7.1.6</t>
  </si>
  <si>
    <t>Fornecimento e instalação de condulete tipo LR, aluminio, para eletroduto 3/4", com tampas (cega ou para tomadas) e acessorios para Fixação (buchas, parafusos e arruelas).</t>
  </si>
  <si>
    <t>CPU-036</t>
  </si>
  <si>
    <t>7.1.7</t>
  </si>
  <si>
    <t>Fornecimento e instalação de condulete tipo T, aluminio, para eletroduto 3/4", com tampas (cega ou para tomadas) e acessorios para Fixação (buchas, parafusos e arruelas).</t>
  </si>
  <si>
    <t>7.1.8</t>
  </si>
  <si>
    <t>Fornecimento e instalação de condulete tipo TB, aluminio, para eletroduto 3/4", com tampas (cega ou para tomadas) e acessorios para Fixação (buchas, parafusos e arruelas).</t>
  </si>
  <si>
    <t>CPU-037</t>
  </si>
  <si>
    <t>7.1.9</t>
  </si>
  <si>
    <t>Fornecimento e instalação de condulete tipo X, aluminio, para eletroduto 3/4", com tampas (cega ou para tomadas) e acessorios para Fixação (buchas, parafusos e arruelas).</t>
  </si>
  <si>
    <t>7.1.10</t>
  </si>
  <si>
    <t>Fornecimento e execução de pintura de tubo de aço galvanizado, DN 3/4" (20mm), em esmalte sintético premium acetinado, cor vermelho</t>
  </si>
  <si>
    <t>CPU-038</t>
  </si>
  <si>
    <t>7.2</t>
  </si>
  <si>
    <t>Tomadas de Energia - Todas as tomadas deverão ser identificadas com etiquetas com número de circuito e tensão</t>
  </si>
  <si>
    <t>7.2.1</t>
  </si>
  <si>
    <t>Fornecimento e instalação de tomada 2P+T de tensão nominal 250V e corrente nominal de 10A (127V), fabricada com material termoplástico de alto impacto de PVC anti-chama, instalado em Tampa para Condulete em alumínio. O produto deve estar de acordo com a norma NBR14136.</t>
  </si>
  <si>
    <t>CPU-039</t>
  </si>
  <si>
    <t>7.3</t>
  </si>
  <si>
    <t>Cabos elétricos e Disjuntores</t>
  </si>
  <si>
    <t>7.3.1</t>
  </si>
  <si>
    <t>Fornecimento e instalação de cabo unipolar de isolamento duplo de PVC para 450/750V; seção transversal 2.5 mm² com baixa emissão de fumos e gases tóxicos; cor: capa preta</t>
  </si>
  <si>
    <t>7.3.2</t>
  </si>
  <si>
    <t>Fornecimento e instalação de cabo unipolar de isolamento duplo de PVC para 450/750V; seção transversal 2.5 mm² com baixa emissão de fumos e gases tóxicos; cor: capa azul</t>
  </si>
  <si>
    <t>7.3.3</t>
  </si>
  <si>
    <t>Fornecimento e instalação de cabo unipolar de isolamento duplo de PVC para 450/750V; seção transversal 2.5 mm² com baixa emissão de fumos e gases tóxicos; cor: capa verde</t>
  </si>
  <si>
    <t>7.3.4</t>
  </si>
  <si>
    <t>Fornecimento e instalação de Cabo bipolar 2 x 1,5mm com blindagem eletrostática (Para ligação dos acionadores e sirenes do sistema de alarme)</t>
  </si>
  <si>
    <t>CPU-040</t>
  </si>
  <si>
    <t>7.3.5</t>
  </si>
  <si>
    <t>Fornecimento e instalação de mini-disjuntor monopolar termo magnetico de corrente nominal de 10A, com curva de disparo C, norma  Din, capacidade de interrupção de 5kA, conforme as normas NBR NM 60898 e NBR IEC 60947-2, fixação do cabo por prensa cabo, incluindo etiqueta de indentificação de circuitos eletricos</t>
  </si>
  <si>
    <t>7.3.6</t>
  </si>
  <si>
    <t>Fornecimento e instalação de mini-disjuntor bipolar termo magnetico de corrente nominal de 10A, com curva de disparo C, norma  Din, capacidade de interrupção de 5kA, conforme as normas NBR NM 60898 e NBR IEC 60947-2, fixação do cabo por prensa cabo, incluindo etiqueta de indentificação de circuitos eletricos</t>
  </si>
  <si>
    <t>INSTALAÇÕES HIDROSSANITÁRIAS</t>
  </si>
  <si>
    <t>8.1</t>
  </si>
  <si>
    <t>Serviços gerais de demolição e escavação</t>
  </si>
  <si>
    <t>8.1.1</t>
  </si>
  <si>
    <t>8.1.2</t>
  </si>
  <si>
    <t>Demolição de revestimento cerâmico de piso, sem reaproveitamento, inclusive afastamento</t>
  </si>
  <si>
    <t>8.1.3</t>
  </si>
  <si>
    <t>Demolição de alvenaria, sem reaproveitamento</t>
  </si>
  <si>
    <t>8.1.4</t>
  </si>
  <si>
    <t xml:space="preserve">Furo em laje de concreto para diâmetros entre 40mm e 75mm </t>
  </si>
  <si>
    <t>8.1.5</t>
  </si>
  <si>
    <t>8.1.6</t>
  </si>
  <si>
    <t>8.1.7</t>
  </si>
  <si>
    <t>8.1.8</t>
  </si>
  <si>
    <t>8.2</t>
  </si>
  <si>
    <t>Tubulação para Sistema de Hidrantes</t>
  </si>
  <si>
    <t>8.2.1</t>
  </si>
  <si>
    <t>Fornecimento e instalação de tubo de aço galvanizado com costura em rede de alimentação para hidrante, classe media, DN 2.1/2" (63mm), E = 3,65mm, peso 6,51 kg/m (Não inclui conexões)</t>
  </si>
  <si>
    <t>8.2.2</t>
  </si>
  <si>
    <t>Fornecimento e instalação de joelho 90º rosqueado em aço galvanizado em rede de alimentação para hidrante, classe media, DN 2.1/2" (63mm), E = 3,65mm</t>
  </si>
  <si>
    <t>CPU-063</t>
  </si>
  <si>
    <t>8.2.3</t>
  </si>
  <si>
    <t>Fornecimento e instalação de luva rosqueada em aço galvanizado em rede de alimentação para hidrante, classe media, DN 2.1/2" (63mm), E = 3,65mm</t>
  </si>
  <si>
    <t>CPU-064</t>
  </si>
  <si>
    <t>8.2.4</t>
  </si>
  <si>
    <t>Fornecimento e instalação de Tê rosqueado em aço galvanizado em rede de alimentação para hidrante, classe media, DN 2.1/2" (63mm), E = 3,65mm</t>
  </si>
  <si>
    <t>CPU-065</t>
  </si>
  <si>
    <t>8.2.5</t>
  </si>
  <si>
    <t>Fornecimento e execução de pintura de rede de tubo de aço galvanizado, DN 2.1/2" (63mm), inclusive conexões, em esmalte sintético premium acetinado, cor vermelho</t>
  </si>
  <si>
    <t>CPU-029</t>
  </si>
  <si>
    <t>8.3</t>
  </si>
  <si>
    <t>Serviços complementares</t>
  </si>
  <si>
    <t>8.3.1</t>
  </si>
  <si>
    <t>Fornecimento e execução de "shaft" em placas de gesso acartonado (Drywall), inclusive perfis metálicos para estruturar a parede, parafusos, massa de rejunte, e demais itens necessários</t>
  </si>
  <si>
    <t>8.3.2</t>
  </si>
  <si>
    <t>Fornecimento e execução de passeio em concreto moldado "in loco" 20MPa, preparo mecânico em obra e acabamento convencional com sarrafeamento e desempenadeira - E=7cm. Incluso juntas de dilatação.</t>
  </si>
  <si>
    <t>CPU-030</t>
  </si>
  <si>
    <t>8.3.3</t>
  </si>
  <si>
    <t>Fornecimento, aplicação e lixamento de massa PVA, mínimo 2 demãos</t>
  </si>
  <si>
    <t>8.3.4</t>
  </si>
  <si>
    <t>Fornecimento e aplicação de selador acrílico pos lixamento</t>
  </si>
  <si>
    <t>8.3.5</t>
  </si>
  <si>
    <t>Fornecimento e aplicação de pintura acrílica, mínimo 2 demãos. Cor a definir pela fiscalização</t>
  </si>
  <si>
    <t>SERVIÇOS COMPLEMENTARES</t>
  </si>
  <si>
    <t>9.1</t>
  </si>
  <si>
    <t>Teste do sistema existente</t>
  </si>
  <si>
    <t>9.1.1</t>
  </si>
  <si>
    <t>Execução de teste e conferência do sistema de Prevenção e Combate a incêndio, incluindo teste de alarmes, sistema de bombeamento, hidrantes, extintores, placas de sinalização. Teste a ser realizado com profissionais habilitados e indicação e correção dos pontos necessários.</t>
  </si>
  <si>
    <t>CPU-031</t>
  </si>
  <si>
    <t>Planilha D - Serviços complementares</t>
  </si>
  <si>
    <t>REALINHAMENTO DO GRADIL SUPERIOR E ACERTO DA CALÇADA</t>
  </si>
  <si>
    <t>Remoção cuidadosa de Gradil. Inclusive afastamento e empilhamento para reutilização</t>
  </si>
  <si>
    <t>CPU-045</t>
  </si>
  <si>
    <t>Demolição de mureta, de forma manual, sem reaproveitamento (Mureta-guia do gradil)</t>
  </si>
  <si>
    <t>Realinhamento do gradil</t>
  </si>
  <si>
    <t>Escavação de estaca broca utilizando trado manual, D = 200mm, inclusive afastamento de material</t>
  </si>
  <si>
    <t>ED-49747</t>
  </si>
  <si>
    <t>Fornecimento, corte, dobra e montagem de armações de aço CA-50/60 nas formas, inclusive instalação de espaçadores e distanciadores e ponteira de proteção com a função de prevenir acidentes de obras através da proteção de pontas dos vergalhões. Para ESTACA BROCA</t>
  </si>
  <si>
    <t>Fornecimento, lançamento e execução de concreto, Fck  25 Mpa, com controle tecnológico, inclusive adensamento e cura. Para ESTACA BROCA. Considerado perdas no preço unitário</t>
  </si>
  <si>
    <t>Escavação manual de material de 1ª categoria medido "in situ". Para baldrame do gradil, interligando as estacas broca</t>
  </si>
  <si>
    <t>Compactação, nivelamento e acerto de fundo de valas medido "in situ". Para baldrame do gradil, interligando as estacas broca</t>
  </si>
  <si>
    <t>1.2.6</t>
  </si>
  <si>
    <t>Fornecimento e execução de FORMA EM MADEIRA, incluso desforma, com uso de desmoldante, madeira em tabua com reaproveitamento, com abertura (janela) para concretagem, inclusive cimbramento/escoramento e utilização de barra de ancoragem, aprumador, viga sanduiche e demais equipamentos, dispositivos e materiais necessários. Para baldrame do gradil, interligando as estacas broca</t>
  </si>
  <si>
    <t>1.2.7</t>
  </si>
  <si>
    <t>Fornecimento, corte, dobra e montagem de armações de aço CA-50/60 nas formas, inclusive instalação de espaçadores e distanciadores e ponteira de proteção com a função de prevenir acidentes de obras através da proteção de pontas dos vergalhões. Para BALDRAME DO GRADIL</t>
  </si>
  <si>
    <t>1.2.8</t>
  </si>
  <si>
    <t>Fornecimento, lançamento e execução de concreto, Fck  25 Mpa, com controle tecnológico, inclusive adensamento e cura. Para baldrame do gradil, interligando as estacas broca</t>
  </si>
  <si>
    <t>1.2.9</t>
  </si>
  <si>
    <t>1.2.10</t>
  </si>
  <si>
    <t>Execução de revestimento tipo chapisco, argamassa traço 1:3, com colher de pedreiro. Preparo mecânico. Para baldrame do gradil, interligando as estacas broca</t>
  </si>
  <si>
    <t>1.2.11</t>
  </si>
  <si>
    <t>Execução de revestimento tipo massa única/emboço/reboco liso, traço 1:2:8, cimento, cal e areia lavada, esp. 2 cm, aplicado em paredes, preparo mecânico, com execução de taliscas. Para baldrame do gradil, interligando as estacas broca</t>
  </si>
  <si>
    <t>1.2.12</t>
  </si>
  <si>
    <t>Fornecimento e aplicação de selador acrílico em parede pos lixamento, mínimo 2 demãos. Cor branco fosco (REF: Metalatex Selador Acrílico Sherwin-Williams, Bema ou Superior)</t>
  </si>
  <si>
    <t>1.2.13</t>
  </si>
  <si>
    <t>Fornecimento e aplicação de pintura acrílica, mínimo 2 demãos, em paredes. Cor branco neve fosco. (REF: Metalex Supera Acrílica Premium Sher-Williams, Bemacril ou Superior)</t>
  </si>
  <si>
    <t>1.2.14</t>
  </si>
  <si>
    <t>Instalação de Gradil e portão Nylofor 3D, H=2,03 a H=2,43 m (Exclusive fornecimento de material)</t>
  </si>
  <si>
    <t>CPU-046</t>
  </si>
  <si>
    <t>Acerto da calçada</t>
  </si>
  <si>
    <t>Execução de piso intertravado, com bloco PAVER RETANGULAR, 10x20cm, espessura 6cm, resistência de 35MPa. Incluso serviços de acabamento, compactação e colchão de areia com espessura mínima de 5cm sobre a base (Reassentamento com PAVER RETANGULAR removido)</t>
  </si>
  <si>
    <t>CPU-060</t>
  </si>
  <si>
    <t>SPDA - Bloco A</t>
  </si>
  <si>
    <t>Aterramento</t>
  </si>
  <si>
    <t>Fornececimento e instalação de haste de aterramento tipo cantoneira de aço zincado 25mm x 25mm x 5mm, comprimento 2,40m</t>
  </si>
  <si>
    <t>CPU-076</t>
  </si>
  <si>
    <t>Fornecimento e instalação de conector cabo-haste em bronze natural para dois cabos de cobre de 16-70 mm²</t>
  </si>
  <si>
    <t>11.83.02</t>
  </si>
  <si>
    <t>Fornecimento e instalação de caixa de Inspeção de PVC, DIMENSÕES CIRCULARES 300x300mm (para as hastes do aterramento), com tampa em Ferro Fundido</t>
  </si>
  <si>
    <t>ED-51055</t>
  </si>
  <si>
    <t>Cabos - Aneis Superior, Inferior e Descida</t>
  </si>
  <si>
    <t>Fornecimento e instalação de cabo de cobre nu, com área de seção de 50 mm2, diametro de cada fio da cordoalha de 3,0mm, conforme NBR 5420 (Anel inferior)</t>
  </si>
  <si>
    <t>ED-49136</t>
  </si>
  <si>
    <t>Fornecimento e instalação de cabo de cobre nu, com área de seção de 35 mm2, diametro de cada fio da cordoalha de 3,0mm, conforme NBR 5420 (Anel superior), inclusive presilha de fixação</t>
  </si>
  <si>
    <t>ED-13934</t>
  </si>
  <si>
    <t>Fornecimento e instalação de cabo de cobre nu, com área de seção de 16 mm2, diametro de cada fio da cordoalha de 3,0mm, conforme NBR 5420 (descida), inclusive suporte e isolador</t>
  </si>
  <si>
    <t>ED-13938</t>
  </si>
  <si>
    <t xml:space="preserve">Fornecimento e instalação de conector de pressão, Split Bolt (Mínimo 50mm2) </t>
  </si>
  <si>
    <t>CPU-077</t>
  </si>
  <si>
    <t>Fornecimento e aplicação de Poliuretano (PU) para vedação de parafusos e buchas - recipiente 310 ML</t>
  </si>
  <si>
    <t>CPU-078</t>
  </si>
  <si>
    <t>CRONOGRAMA FÍSICO FINANCEIRO</t>
  </si>
  <si>
    <t>Valor Total da Estapa (R$)</t>
  </si>
  <si>
    <t>1º MÊS</t>
  </si>
  <si>
    <t>2º MÊS</t>
  </si>
  <si>
    <t>3º MÊS</t>
  </si>
  <si>
    <t>4º MÊS</t>
  </si>
  <si>
    <t>5º MÊS</t>
  </si>
  <si>
    <t>6º MÊS</t>
  </si>
  <si>
    <t>TOTAL - Planilha A</t>
  </si>
  <si>
    <t>TOTAL - Planilha B</t>
  </si>
  <si>
    <t>TOTAL - Planilha C</t>
  </si>
  <si>
    <t>TOTAL - Planilha D</t>
  </si>
  <si>
    <t>TOTAL GERAL (Planilhas A, B, C e D)</t>
  </si>
  <si>
    <t>ACUMULADO</t>
  </si>
  <si>
    <t>COMPOSIÇÕES DE PREÇO UNITÁRIO</t>
  </si>
  <si>
    <t>ESCAVAÇÃO MANUAL/MECÂNICA DE MATERIAL DE 1ª CATEGORIA MEDIDO "IN SITU"</t>
  </si>
  <si>
    <t>Fonte</t>
  </si>
  <si>
    <t>Código</t>
  </si>
  <si>
    <t xml:space="preserve">Descrição </t>
  </si>
  <si>
    <t>Unidade</t>
  </si>
  <si>
    <t>Coeficiente</t>
  </si>
  <si>
    <t>Preço (R$)</t>
  </si>
  <si>
    <t>Preço Total (R$)</t>
  </si>
  <si>
    <t>ESCAVAÇÃO MECANIZADA DE VALA COM PROFUNDIDADE ATÉ 1,5 M (MÉDIA MONTANTE E JUSANTE/UMA COMPOSIÇÃO POR TRECHO), RETROESCAV. (0,26 M3), LARGURA DE 0,8 M A 1,5 M, EM SOLO DE 1A CATEGORIA, LOCAIS COM BAIXO NÍVEL DE INTERFERÊNCIA. AF_02/2021</t>
  </si>
  <si>
    <t>ESCAVAÇÃO MANUAL DE VALA COM PROFUNDIDADE MENOR OU IGUAL A 1,30 M. AF_02/2021</t>
  </si>
  <si>
    <t>ORIGEM DA COMPOSIÇÃO:</t>
  </si>
  <si>
    <t>Total (Custo Direto sem LDI)</t>
  </si>
  <si>
    <t>BOTA-FORA COM CARGA MANUAL/MECÂNICA PROVENIENTE DAS ESCAVAÇÕES, MOVIMENTAÇÕES DE TERRA E ENTULHOS EM GERAL, INCLUSIVE TRANSPORTE HORIZONTAL E VERTICAL NO INTERIOR DA OBRA COM CARGA EM CAMINHÃO CAÇAMBA, TRANSPORTE E DESCARGA EM LOCAL AUTORIZADO PELA PREFEITURA (MOVIMENTAÇÃO EM CAMINHÃO BASCULANTE)</t>
  </si>
  <si>
    <t>SERVENTE COM ENCARGOS COMPLEMENTARES</t>
  </si>
  <si>
    <t>H</t>
  </si>
  <si>
    <t>PÁ CARREGADEIRA SOBRE RODAS, POTÊNCIA LÍQUIDA 128 HP, CAPACIDADE DA CAÇAMBA 1,7 A 2,8 M3, PESO OPERACIONAL 11632 KG - CHP DIURNO. AF_06/2014</t>
  </si>
  <si>
    <t>CHP</t>
  </si>
  <si>
    <t>PÁ CARREGADEIRA SOBRE RODAS, POTÊNCIA LÍQUIDA 128 HP, CAPACIDADE DA CAÇAMBA 1,7 A 2,8 M3, PESO OPERACIONAL 11632 KG - CHI DIURNO. AF_06/2014</t>
  </si>
  <si>
    <t>CHI</t>
  </si>
  <si>
    <t>TRANSPORTE COM CAMINHÃO BASCULANTE DE 6 M³, EM VIA URBANA PAVIMENTADA, DMT ATÉ 30 KM (UNIDADE: M3XKM). AF_07/2020</t>
  </si>
  <si>
    <t>M3XKM</t>
  </si>
  <si>
    <t>OBS: Considerado distância média de 10Km</t>
  </si>
  <si>
    <t>TAXA MÉDIA PARA DESCARGA DE CAMINHÃO 12M3 EM BOTA-FORA</t>
  </si>
  <si>
    <t>R$/12M3</t>
  </si>
  <si>
    <t>FORNECIMENTO E EXECUÇÃO DE LASTRO COM BRITA CORRIDA, ESPALHAMENTO MANUAL E COMPACTAÇÃO COM SOQUETE VIBRATÓRIO. ALTURA DE ACORDO COM ESPECIFICADO EM PROJETO.</t>
  </si>
  <si>
    <t>PLACA VIBRATÓRIA REVERSÍVEL COM MOTOR 4 TEMPOS A GASOLINA, FORÇA CENTRÍFUGA DE 25 KN (2500 KGF), POTÊNCIA 5,5 CV - CHP DIURNO. AF_08/2015</t>
  </si>
  <si>
    <t>PLACA VIBRATÓRIA REVERSÍVEL COM MOTOR 4 TEMPOS A GASOLINA, FORÇA CENTRÍFUGA DE 25 KN (2500 KGF), POTÊNCIA 5,5 CV - CHI DIURNO. AF_08/2015</t>
  </si>
  <si>
    <t>TRANSPORTE COM CAMINHÃO BASCULANTE DE 14 M³, EM VIA URBANA PAVIMENTADA, DMT ATÉ 30 KM (UNIDADE: M3XKM). AF_07/2020</t>
  </si>
  <si>
    <t>SINAPI - Out/2022 (Insumo)</t>
  </si>
  <si>
    <t xml:space="preserve">PEDRA BRITADA N. 2 (19 A 38 MM) POSTO PEDREIRA/FORNECEDOR, SEM FRETE                                                                                                                                                                                                                                                                                                                                                                                                                                      </t>
  </si>
  <si>
    <t xml:space="preserve">M3    </t>
  </si>
  <si>
    <t>FORNECIMENTO E EXECUÇÃO DE PINTURA PARA SÍMBOLO DE VAGA RESERVADA PARA PNE, IDOSO E DEMAIS SÍMBOLOS E TEXTOS NECESSÁRIOS COM TINTA EPÓXI, APLICAÇÃO MANUAL</t>
  </si>
  <si>
    <t>PINTOR COM ENCARGOS COMPLEMENTARES</t>
  </si>
  <si>
    <t xml:space="preserve">FITA CREPE ROLO DE 25 MM X 50 M                                                                                                                                                                                                                                                                                                                                                                                                                                                                           </t>
  </si>
  <si>
    <t xml:space="preserve">UN    </t>
  </si>
  <si>
    <t xml:space="preserve">TINTA EPOXI BASE AGUA PREMIUM, BRANCA                                                                                                                                                                                                                                                                                                                                                                                                                                                                     </t>
  </si>
  <si>
    <t xml:space="preserve">L     </t>
  </si>
  <si>
    <t xml:space="preserve">DILUENTE EPOXI                                                                                                                                                                                                                                                                                                                                                                                                                                                                                            </t>
  </si>
  <si>
    <t>SINAPI</t>
  </si>
  <si>
    <t>102513 (Adaptada)</t>
  </si>
  <si>
    <t>FORNECIMENTO E INSTALAÇÃO DE ASPERSOR GIRATÓRIO, TIPO ESPETO, CORPO EM METAL, VAZÃO DE TRABALHO DE 3,8GPM E PRESSÃO DE 60PSI. INCLUSIVE TODOS OS ITENS NECESSÁRIOS PARA INSTALAÇÃO. (REF.: IRRIGADOR ASPERSOR SETORIAL METÁLICO PROSSIONAL ESPIGA)</t>
  </si>
  <si>
    <t>JARDINEIRO COM ENCARGOS COMPLEMENTARES</t>
  </si>
  <si>
    <t xml:space="preserve">FITA VEDA ROSCA EM ROLOS DE 18 MM X 10 M (L X C)                                                                                                                                                                                                                                                                                                                                                                                                                                                          </t>
  </si>
  <si>
    <t>COTAÇÃO</t>
  </si>
  <si>
    <t>IRRIGADOR ASPERSOR SETORIAL METÁLICO PROFISSIONAL ESPIGA</t>
  </si>
  <si>
    <t>FORNECIMENTO E INSTALAÇÃO DE TUBO/MANGUEIRA DE POLIETILENO 20X2,3MM (REF: TUBO DE POLIETILENO 80 TIGRE AZUL 20 X 2,3MM OU SUPERIOR)</t>
  </si>
  <si>
    <t>ENCANADOR OU BOMBEIRO HIDRÁULICO COM ENCARGOS COMPLEMENTARES</t>
  </si>
  <si>
    <t>AUXILIAR DE ENCANADOR OU BOMBEIRO HIDRÁULICO COM ENCARGOS COMPLEMENTARES</t>
  </si>
  <si>
    <t>TUBO DE POLIETILENO 80 TIGRE AZUL 20 X 2,3MM</t>
  </si>
  <si>
    <t>SUDECAP-BH</t>
  </si>
  <si>
    <t>10.50.40 (Adaptada)</t>
  </si>
  <si>
    <t>FORNECIMENTO E EXECUÇÃO DE CAIXA PASSAGEM/INSPEÇÃO, EM ALVENARIA COM TIJOLOS CERÂMICOS MACIÇOS, DIMENSÕES INTERNAS 40X40X40CM, PAREDES INTERNAS REVESTIDAS COM CHAPISCO E REBOCO, SEM TAMPA EM CONCRETO ARMADO, INCLUSIVE ESCAVAÇÃO E COMPACTAÇÃO FUNDO CAIXA E BOTA-FORA DE MATERIAL EXEDENTE DE ESCAVAÇÃO</t>
  </si>
  <si>
    <t>ARGAMASSA TRAÇO 1:4 (EM VOLUME DE CIMENTO E AREIA GROSSA ÚMIDA) PARA CHAPISCO CONVENCIONAL, PREPARO MECÂNICO COM BETONEIRA 400 L. AF_08/2019</t>
  </si>
  <si>
    <t>PEDREIRO COM ENCARGOS COMPLEMENTARES</t>
  </si>
  <si>
    <t>ARGAMASSA TRAÇO 1:3 (EM VOLUME DE CIMENTO E AREIA MÉDIA ÚMIDA), PREPARO MECÂNICO COM BETONEIRA 400 L. AF_08/2019</t>
  </si>
  <si>
    <t>CONCRETO FCK = 20MPA, TRAÇO 1:2,7:3 (EM MASSA SECA DE CIMENTO/ AREIA MÉDIA/ BRITA 1) - PREPARO MECÂNICO COM BETONEIRA 600 L. AF_05/2021</t>
  </si>
  <si>
    <t>PREPARO DE FUNDO DE VALA COM LARGURA MENOR QUE 1,5 M (ACERTO DO SOLO NATURAL). AF_08/2020</t>
  </si>
  <si>
    <t xml:space="preserve">TIJOLO CERAMICO MACICO COMUM *5 X 10 X 20* CM (L X A X C)                                                                                                                                                                                                                                                                                                                                                                                                                                                 </t>
  </si>
  <si>
    <t>FORNECIMENTO E INSTALAÇÃO DE LUMINÁRIA REFLETOR DE LED NA COR PRETA, FABRICADO EM ALUMÍNIO INJETADO, GRAU DE PROTEÇÃO IP66, POTÊNCIA DE 10W, TEMPERATURA DE COR 3000K (BRANCO QUENTE), 950 LUMENS. BIVOLT - REFERÊNCIA: PHILIPS (PARA UTILIZAÇÃO NA ILUMINAÇÃO DAS ÁRVORES, MONTADAS NO PISO)</t>
  </si>
  <si>
    <t>ELETRICISTA COM ENCARGOS COMPLEMENTARES</t>
  </si>
  <si>
    <t>AUXILIAR DE ELETRICISTA COM ENCARGOS COMPLEMENTARES</t>
  </si>
  <si>
    <t>PROJETOR LED 10W 3000K LUZ AMARELA 120º 950 LÚMENS PRETO IP65 PHILIPS - BIVOLT</t>
  </si>
  <si>
    <t>REMOÇÃO DOS POSTES GALVANIZADOS, DE 6,0M DE ALTURA, INCLUSIVE DEMOLIÇÃO DA BASE (POSTES EXISTENTES NO LOCAL, COM REAPROVEITAMENTO)</t>
  </si>
  <si>
    <t>ORSE-SE - 02/2021</t>
  </si>
  <si>
    <t>7768 (Adaptada)</t>
  </si>
  <si>
    <t>FORNECIMENTO E INSTALAÇÃO DE CONJUNTO DE CHUMBADORES INTERTRAVADOS PARA POSTES COM ALTURA TOTAL ATÉ 7,5M. DIMENSÕES: 1" X 1" X 600 MM (LXPXA). PARAFUSOS: M19, COM COMPRIMENTO DE 500 MM, EM AÇO LAMINADO A36, COM ROSCAS "OVERSIZE", DOBRADOS NA BASE. INTERTRAVAMENTO: CHAPAS DE AÇO GALVANIZADO 1010/1020, COM ESPESSURA MÍNIMA DE 3 MM SOLDADAS AOS PARAFUSOS EM DOIS NÍVEIS E NA BASE (UNIÃO DAS PONTAS DOS PARAFUSOS OPOSTOS). PORCAS E CONTRAPORCAS COMPATÍVEIS. TRATAMENTO: GALVANIZAÇÃO A FOGO POR IMERSÃO A QUENTE, INTERNA E EXTERNAMENTE, INCLUINDO ESCAVAÇÃO (FUNDAÇÃO: Ø45 CM X 1,60M), ARMADURA (AÇO CA-50: LONGITUDINAL = 4Ø10.0 COMPRIMENTO DE 1,5M) E CONCRETO FCK 20 MPA.</t>
  </si>
  <si>
    <t>COMPOSIÇÃO</t>
  </si>
  <si>
    <t>CPU-010 (Auxiliar)</t>
  </si>
  <si>
    <t>PERFURAÇÃO DE ESTACA TRADO MANUAL - D = 45CM</t>
  </si>
  <si>
    <t>BOTA-FORA EM CAÇAMBA ALUGADA, INCLUSIVE TRANSPORTE HORIZONTAL E VERTICAL NO INTERIOR DA OBRA E CARGA. (MOVIMENTAÇÃO EM CAÇAMBA ALUGADA)</t>
  </si>
  <si>
    <t>AÇO CA-50 OU CA-60</t>
  </si>
  <si>
    <t>CONCRETO FCK &gt;= 25 MPA, BRITA CALCÁRIA, PREPARADO EM OBRA E LANÇADO EM FUNDAÇÃO</t>
  </si>
  <si>
    <t xml:space="preserve">CHUMBADOR DE ACO, 1" X 600 MM, PARA POSTES DE ACO COM BASE, INCLUSO PORCA E ARRUELA                                                                                                                                                                                                                                                                                                                                                                                                                       </t>
  </si>
  <si>
    <t>04.03.04</t>
  </si>
  <si>
    <t>PERFURAÇAO DE ESTACA TRADO D= 30 CM</t>
  </si>
  <si>
    <t>SUDECAP/BH - 01/2022</t>
  </si>
  <si>
    <t>04.03.04 (Adaptada)</t>
  </si>
  <si>
    <t>ASSENTAMENTO DE POSTES GALVANIZADOS, COM ALTURA DE 6,0M (POSTES EXISTENTES NO LOCAL, QUE SERÃO REALOCADOS)</t>
  </si>
  <si>
    <t>FORNECIMENTO E INSTALAÇÃO DE POSTE TELEFÔNICO ESCALONADO RETO COM ALTURA ÚLTIL DE 6,00M. CONSTRUÇÃO: TUBO DE AÇO GALVANIZADO DIN 2440, COM ESPESSURA MÍNIMA DE 3 MM; DIÂMETRO DA BASE: 90 MM; DIÂMETRO DO TOPO: 60,3 MM; NÚMERO DE ESTÁGIOS: 3; REDUÇÃO DO DIÂMETRO ATRAVÉS DE PROCESSO DE PRENSAGEM HIDRÁULICA. BASE TIPO FLANGE, QUADRADA, COM DIMENSÕES DE 300 X 300 MM E ESPESSURA MÍNIMA DE 9 MM. TRATAMENTO: GALVANIZAÇÃO A FOGO POR IMERSÃO A QUENTE, INTERNA E EXTERNAMENTE. PREVISÃO PARA INSTALAÇÃO DE ILUMINAÇÃO DE SEGUNDO ESTÁGIO A 3,5 M DE ALTURA, COM FURO PARA PASSAGEM DE CABOS E FIXAÇÃO POR DOIS PARAFUSOS (ROSCAS SOLDADAS INTERNAMENTE). PASSAGEM DE CABOS INTERNA.</t>
  </si>
  <si>
    <t xml:space="preserve">POSTE CONICO CONTINUO EM ACO GALVANIZADO, RETO, ENGASTADO,  H = 7 M, DIAMETRO INFERIOR = *125* MM                                                                                                                                                                                                                                                                                                                                                                                                         </t>
  </si>
  <si>
    <t>DEMOLIÇÃO DE BUEIRO E REQUADRO DE CONCRETO OU AÇO COM EMPILHAMENTO PARA REUTILIZAÇÃO. INCLUSIVE CARGA E DESCARGA</t>
  </si>
  <si>
    <t>DEMOLIÇÃO DE BICICLETÁRIO E DESTINAÇÃO PARA BOTA-FORA, INCLUSIVE CARGA E DESCARGA</t>
  </si>
  <si>
    <t>LOCAÇÃO TOPOGRÁFICA DA OBRA COM USO DE EQUIPAMENTOS TOPOGRÁFICOS, INCLUSIVE TOPÓGRAFO E NIVELADOR</t>
  </si>
  <si>
    <t>LOCAÇÃO DE PONTO PARA REFERÊNCIA TOPOGRÁFICA. AF_10/2018</t>
  </si>
  <si>
    <t>* Considerado 80 pontos e uma área estimada de 2600m2</t>
  </si>
  <si>
    <t>REALIZAÇÃO DE ENSAIOS PARA ATERROS CONTROLADOS, INCLUINDO ENSAIO DE COMPACTAÇÃO PROCTOR, CONFORME NORMAS DA ABNT PARA ENSAIOS DE COMPACTAÇÃO, ANÁLISE GRANULOMÉTRICA, LIMITE DE LIQUIDEZ, LIMITE DE PLASTICIDADE, UMIDADE DOS SOLOS, PARA CONTROLE DE COMPACTAÇÃO DE ATERROS. DEVERÃO SER COMPROVADAS AS CARACTERÍSTICAS DOS SOLOS ATRAVÉS DA ANÁLISE DOS RESULTADOS DOS ENSAIOS ESPECÍFICOS.</t>
  </si>
  <si>
    <t>ED-49555</t>
  </si>
  <si>
    <t>ENSAIO DE COMPACTACAO - AMOSTRAS NAO TRABALHADAS - ENERGIA NORMAL - SOLOS</t>
  </si>
  <si>
    <t>U</t>
  </si>
  <si>
    <t>ED-49553</t>
  </si>
  <si>
    <t>ENSAIO DE LIMITE DE LIQUIDEZ - SOLOS</t>
  </si>
  <si>
    <t>ED-49554</t>
  </si>
  <si>
    <t>ENSAIO DE LIMITE DE PLASTICIDADE - SOLOS</t>
  </si>
  <si>
    <t>ED-49565</t>
  </si>
  <si>
    <t>ENSAIO DE TEOR DE UMIDADE - EM LABORATORIO - SOLOS</t>
  </si>
  <si>
    <t>ED-49551</t>
  </si>
  <si>
    <t>ENSAIO DE GRANULOMETRIA POR PENEIRAMENTO - SOLOS</t>
  </si>
  <si>
    <t>FORNECIMENTO E INSTALAÇÃO DE BICICLETÁRIO DE CHÃO, FABRICADO EM AÇO E ACABAMENTO EM PINTURA EPÓXI, PRÓPRIO PARA UTILIZAÇÃO EM AMBIENTES EXTERNOS. (REF.: BICICLETÁRIO DE CHÃO - A-115 - ALTMAYER OU EQUIVALENTE)</t>
  </si>
  <si>
    <t>BICICLETÁRIO/SUPORTE DE CHÃO - AI-115 - ALTMAYER</t>
  </si>
  <si>
    <t>FORNECIMENTO E INSTALAÇÃO DE PLACA DE SINALIZAÇÃO - M1 - MENSAGENS ESCRITAS - INDICAÇÃO DOS SISTEMAS DE PROTEÇÃO CONTRA INCÊNDIO EXISTENTES NA EDIFICAÇÃO</t>
  </si>
  <si>
    <t>PLACA DE SINALIZAÇÃO - M1 - MENSAGENS ESCRITAS - INDICAÇÃO DOS SISTEMAS DE PROTEÇÃO CONTRA INCÊNDIO EXISTENTES NA EDIFICAÇÃO</t>
  </si>
  <si>
    <t>FITA DUPLA FACE 3M SCOTCH FIXA FORTE FIXAÇÃO EXTREMA 24MMX2M</t>
  </si>
  <si>
    <t>Rolo c/ 2M</t>
  </si>
  <si>
    <t>FORNECIMENTO E INSTALAÇÃO DE PLACA DE SINALIZAÇÃO - M2 - MENSAGENS ESCRITAS - INDICAÇÃO DA LOTAÇÃO MÁXIMA ADMITIDA NO RECINTO DE REUNIÃO DE PÚBLICO</t>
  </si>
  <si>
    <t>PLACA DE SINALIZAÇÃO - M2 - MENSAGENS ESCRITAS - INDICAÇÃO DA LOTAÇÃO MÁXIMA ADMITIDA NO RECINTO DE REUNIÃO DE PÚBLICO</t>
  </si>
  <si>
    <t>FORNECIMENTO E INSTALAÇÃO DE PLACA DE SINALIZAÇÃO - M7 - MENSAGENS ESCRITAS - MANTER A PORTA ABERTA DURANTE O USO DA EDIFICAÇÃO</t>
  </si>
  <si>
    <t>PLACA DE SINALIZAÇÃO - M7 - MENSAGENS ESCRITAS - MANTER A PORTA ABERTA DURANTE O USO DA EDIFICAÇÃO</t>
  </si>
  <si>
    <t>FORNECIMENTO E INSTALAÇÃO DE PLACA DE SINALIZAÇÃO - PLACA ALARME DE, FUNDO VERMELHO, PICTOGRAMA FOTOLUMINESCENTE</t>
  </si>
  <si>
    <t xml:space="preserve"> PLACA DE SINALIZAÇÃO - PLACA ALARME DE, FUNDO VERMELHO, PICTOGRAMA FOTOLUMINESCENTE</t>
  </si>
  <si>
    <t>FORNECIMENTO E INSTALAÇÃO DE PLACA DE SINALIZAÇÃO - PLACA SIRENE</t>
  </si>
  <si>
    <t>PLACA DE SINALIZAÇÃO - PLACA SIRENE</t>
  </si>
  <si>
    <t>FORNECIMENTO E INSTALAÇÃO DE ABRIGO PARA HIDRANTE COM PINTURA ELETROSTÁTICA VERMELHA, TIPO EMBUTIR, EM CHAPA DOBRADA # 20 MSG, NAS DIMENSÕES (60X90X17)CM. INCLUSIVE REGISTRO GLOBO ANGULAR 45º Ø63MM, ADAPTADOR Ø63MM, RSF X ENGATE RÁPIDO Ø38MM, MANGUEIRA DE FIBRA SINTÉTICA COM REVESTIMENTO INTERNO DE BORRACHA, Ø38MM E COMPRIMENTO DE 30M (2 DE 15M) TIPO 2 - NBR 11.861/ABNT, ESGUICHO CÔNICO, TIPO ANGULHETA, Ø38MM E JUNTA DE ENGATE RÁPIDO, REQUINTE Ø13MM, CESTO BASCULANTE, VISOR DE VIDRO E CHAVES PARA CONEXÕES DE ENGATE RÁPIDO Ø63X38MM. INCLUSO RASGO EM ALVENARIA E ASSENTAMENTO COM ARGAMASSA 1:4</t>
  </si>
  <si>
    <t>DEMOLIÇÃO DE ALVENARIA DE BLOCO FURADO, DE FORMA MANUAL, SEM REAPROVEITAMENTO. AF_12/2017</t>
  </si>
  <si>
    <t>ARGAMASSA TRAÇO 1:0,5:4,5 (EM VOLUME DE CIMENTO, CAL E AREIA MÉDIA ÚMIDA), PREPARO MECÂNICO COM BETONEIRA 400 L. AF_08/2019</t>
  </si>
  <si>
    <t xml:space="preserve">ADAPTADOR, EM LATAO, ENGATE RAPIDO1 1/2" X ROSCA INTERNA 5 FIOS 2 1/2",  PARA INSTALACAO PREDIAL DE COMBATE A INCENDIO                                                                                                                                                                                                                                                                                                                                                                                    </t>
  </si>
  <si>
    <t xml:space="preserve">REGISTRO OU VALVULA GLOBO ANGULAR EM LATAO, PARA HIDRANTES EM INSTALACAO PREDIAL DE INCENDIO, 45 GRAUS, DIAMETRO DE 2 1/2", COM VOLANTE, CLASSE DE PRESSAO DE ATE 200 PSI                                                                                                                                                                                                                                                                                                                                 </t>
  </si>
  <si>
    <t xml:space="preserve">CAIXA DE INCENDIO/ABRIGO PARA MANGUEIRA, DE SOBREPOR/EXTERNA, COM 90 X 60 X 17 CM, EM CHAPA DE ACO, PORTA COM VENTILACAO, VISOR COM A INSCRICAO "INCENDIO", SUPORTE/CESTA INTERNA PARA A MANGUEIRA, PINTURA ELETROSTATICA VERMELHA                                                                                                                                                                                                                                                                        </t>
  </si>
  <si>
    <t xml:space="preserve">CHAVE DUPLA PARA CONEXOES TIPO STORZ, ENGATE RAPIDO 1 1/2" X 2 1/2", EM LATAO, PARA INSTALACAO PREDIAL COMBATE A INCENDIO                                                                                                                                                                                                                                                                                                                                                                                 </t>
  </si>
  <si>
    <t xml:space="preserve">MANGUEIRA DE INCENDIO, TIPO 1, DE 1 1/2", COMPRIMENTO = 15 M, TECIDO EM FIO DE POLIESTER E TUBO INTERNO EM BORRACHA SINTETICA, COM UNIOES ENGATE RAPIDO                                                                                                                                                                                                                                                                                                                                                   </t>
  </si>
  <si>
    <t xml:space="preserve">ESGUICHO JATO REGULAVEL, TIPO ELKHART, ENGATE RAPIDO 1 1/2", PARA COMBATE A INCENDIO                                                                                                                                                                                                                                                                                                                                                                                                                      </t>
  </si>
  <si>
    <t>SINAPI - 03/2022</t>
  </si>
  <si>
    <t>96765 (Adaptada)</t>
  </si>
  <si>
    <t>PAINEL CENTRAL DE ALARME DE INCÊNDIO CONVENCIONAL, 100/220V, BIVOLT AUTOMÁTICO, TENSÃO DE FUNCIONAMENTO 24VDC, SAÍDA AUXILIAR DE RELÉ, COM 24 LAÇOS, CADA LAÇO SUPORTANDO ATÉ 20 DISPOSITIVOS, TAMANHO APROXIMADO DE 240X290X100MM, MODELO DE SOBREPOR EM ALVENARIA. FORMA DE DETECÇÃO POR RESISTÊNCIA NO LAÇO, PAINEL COM LED'S, TEMPORIZAÇÃO PARA DISPARO DE ALARME GERAL, CHAVE BLOQUIO DE TECLADO. PROTEÇÃO CONTRA SURTOS. REF.: SEGURIMAX OU SUPERIOR</t>
  </si>
  <si>
    <t xml:space="preserve">BUCHA DE NYLON, DIAMETRO DO FURO 8 MM, COMPRIMENTO 40 MM, COM PARAFUSO DE ROSCA SOBERBA, CABECA CHATA, FENDA SIMPLES, 4,8 X 50 MM                                                                                                                                                                                                                                                                                                                                                                         </t>
  </si>
  <si>
    <t>CENTRAL DE ALARME DE INCÊNDIO COM BATERIA 24 SETORES 12V – SEGURIMAX - BIVOLT</t>
  </si>
  <si>
    <t>FORNECIMENTO E INSTALAÇÃO DE MANGUEIRA DE FIBRA SINTÉTICA COM REVESTIMENTO INTERNO DE BORRACHA, Ø38MM E COMPRIMENTO DE 15M, TIPO 2 - NBR 11.861/ABNT, INCLUSIVE UNIÕES DE ENGATE RÁPIDO</t>
  </si>
  <si>
    <t>FORNECIMENTO E INSTALAÇÃO DE ACIONADOR MANUAL DE BOMBA DE INCÊNDIO (REF.: INTELBRAS OU SUPERIOR)</t>
  </si>
  <si>
    <t>ACIONADOR MANUAL DE BOMBA AMB 3202 INTELBRAS</t>
  </si>
  <si>
    <t>FORNECIMENTO E INSTALAÇÃO DE ABRIGO PARA EXTINTOR EM CHAPA #18, PINTADA COM ESMALTE SINTÉTICO VERMELHO, ALETAS DE VENTILAÇÃO, SUPORTE PARA FIXAÇÃO NA PAREDE E VISOR EM ACRÍLICO</t>
  </si>
  <si>
    <t>ABRIGO DE EXTINTOR PQS – ACO 75 X 30 X 25</t>
  </si>
  <si>
    <t>FORNECIMENTO E INSTALAÇÃO DE LUMINÁRIA AUTÔNOMA DE EMERGÊNCIA, COM 2 REFLETORES DE LONGO ALCANCE, 1.200 LUMENS</t>
  </si>
  <si>
    <t>Luminária de Emergência LED 1200 Lumens e 2 Faróis Empalux</t>
  </si>
  <si>
    <t>97599 (Adaptada)</t>
  </si>
  <si>
    <t>FORNECIMENTO E EXECUÇÃO DE PINTURA DE REDE DE TUBO DE AÇO GALVANIZADO, DN 2.1/2" (63MM), INCLUSIVE CONEXÕES, EM ESMALTE SINTÉTICO PREMIUM ACETINADO, COR VERMELHO</t>
  </si>
  <si>
    <t>AUXILIAR DE SERRALHEIRO COM ENCARGOS COMPLEMENTARES</t>
  </si>
  <si>
    <t>SERRALHEIRO COM ENCARGOS COMPLEMENTARES</t>
  </si>
  <si>
    <t xml:space="preserve">TINTA ESMALTE SINTETICO PREMIUM ACETINADO                                                                                                                                                                                                                                                                                                                                                                                                                                                                 </t>
  </si>
  <si>
    <t>SINAPI - 04/2022</t>
  </si>
  <si>
    <t>98397 (Adaptada)</t>
  </si>
  <si>
    <t>FORNECIMENTO E EXECUÇÃO DE PASSEIO EM CONCRETO MOLDADO "IN LOCO" 20MPA, PREPARO MECÂNICO EM OBRA E ACABAMENTO CONVENCIONAL COM SARRAFEAMENTO E DESEMPENADEIRA - E=7CM. INCLUSO JUNTAS DE DILATAÇÃO.</t>
  </si>
  <si>
    <t>CONCRETO FCK = 20MPA, TRAÇO 1:2,7:3 (EM MASSA SECA DE CIMENTO/ AREIA MÉDIA/ BRITA 1) - PREPARO MECÂNICO COM BETONEIRA 400 L. AF_05/2021</t>
  </si>
  <si>
    <t>101747 (Adaptada)</t>
  </si>
  <si>
    <t>EXECUÇÃO DE TESTE E CONFERÊNCIA DO SISTEMA DE PREVENÇÃO E COMBATE A INCÊNDIO, INCLUINDO TESTE DE ALARMES, SISTEMA DE BOMBEAMENTO, HIDRANTES, EXTINTORES, PLACAS DE SINALIZAÇÃO. TESTE A SER REALIZADO COM PROFISSIONAIS HABILITADOS E INDICAÇÃO E CORREÇÃO DOS PONTOS NECESSÁRIOS.</t>
  </si>
  <si>
    <t>ENGENHEIRO CIVIL DE OBRA JUNIOR COM ENCARGOS COMPLEMENTARES</t>
  </si>
  <si>
    <t>FORNECIMENTO E INSTALAÇÃO DE ELETROBOMBA, MOTOR 5 CV, 220 V, TRIFÁSICA (REF.: MODELO THEBE THSI-18 5.0 CV TRIF OU SIMILAR)</t>
  </si>
  <si>
    <t>AJUDANTE ESPECIALIZADO COM ENCARGOS COMPLEMENTARES</t>
  </si>
  <si>
    <t>MONTADOR ELETROMECÃNICO COM ENCARGOS COMPLEMENTARES</t>
  </si>
  <si>
    <t>BOMBA DE INCÊNDIO THEBE THSI-18(R) 5 CV TRIFÁSICA 220V/380V/440V</t>
  </si>
  <si>
    <t>FORNECIMENTO E INSTALAÇÃO DE PRESSOSTATO COM AJUSTE DUPLO E INTEPENDENTE DE 10 A 145 PCI</t>
  </si>
  <si>
    <t>PRESSOSTATO LF5512-03W - LEFOO-LF5512-03W</t>
  </si>
  <si>
    <t>SETOP-MG - 03/2022</t>
  </si>
  <si>
    <t>ED-50185 (Adaptada)</t>
  </si>
  <si>
    <t>FORNECIMENTO E INSTALAÇÃO DE CONDULETE TIPO LB, ALUMINIO, PARA ELETRODUTO 3/4", COM TAMPAS (CEGA OU PARA TOMADAS) E ACESSORIOS PARA FIXAÇÃO (BUCHAS, PARAFUSOS E ARRUELAS).</t>
  </si>
  <si>
    <t xml:space="preserve">BUCHA DE NYLON SEM ABA S6, COM PARAFUSO DE 4,20 X 40 MM EM ACO ZINCADO COM ROSCA SOBERBA, CABECA CHATA E FENDA PHILLIPS                                                                                                                                                                                                                                                                                                                                                                                   </t>
  </si>
  <si>
    <t>CONDULETE FIXO 3/4" TIPO "LB" - COM TAMPA / ROSCA BSP / COM PINTURA ELETROSTÁTICA A PÓ</t>
  </si>
  <si>
    <t>95777 (Adaptada)</t>
  </si>
  <si>
    <t>FORNECIMENTO E INSTALAÇÃO DE CONDULETE TIPO LL, ALUMINIO, PARA ELETRODUTO 3/4", COM TAMPAS (CEGA OU PARA TOMADAS) E ACESSORIOS PARA FIXAÇÃO (BUCHAS, PARAFUSOS E ARRUELAS).</t>
  </si>
  <si>
    <t>CONDULETE FIXO 3/4" TIPO "LL" - COM TAMPA / ROSCA BSP / COM PINTURA ELETROSTÁTICA A PÓ</t>
  </si>
  <si>
    <t>FORNECIMENTO E INSTALAÇÃO DE CONDULETE TIPO LR, ALUMINIO, PARA ELETRODUTO 3/4", COM TAMPAS (CEGA OU PARA TOMADAS) E ACESSORIOS PARA FIXAÇÃO (BUCHAS, PARAFUSOS E ARRUELAS).</t>
  </si>
  <si>
    <t xml:space="preserve">CONDULETE DE ALUMINIO TIPO LR, PARA ELETRODUTO ROSCAVEL DE 3/4", COM TAMPA CEGA                                                                                                                                                                                                                                                                                                                                                                                                                           </t>
  </si>
  <si>
    <t>FORNECIMENTO E INSTALAÇÃO DE CONDULETE TIPO TB, ALUMINIO, PARA ELETRODUTO 3/4", COM TAMPAS (CEGA OU PARA TOMADAS) E ACESSORIOS PARA FIXAÇÃO (BUCHAS, PARAFUSOS E ARRUELAS).</t>
  </si>
  <si>
    <t>CONDULETE FIXO 3/4" TIPO "TB" - COM TAMPA / ROSCA BSP / COM PINTURA ELETROSTÁTICA A PÓ</t>
  </si>
  <si>
    <t>FORNECIMENTO E EXECUÇÃO DE PINTURA DE TUBO DE AÇO GALVANIZADO, DN 3/4" (20MM), EM ESMALTE SINTÉTICO PREMIUM ACETINADO, COR VERMELHO</t>
  </si>
  <si>
    <t>FORNECIMENTO E INSTALAÇÃO DE TOMADA 2P+T DE TENSÃO NOMINAL 250V E CORRENTE NOMINAL DE 10A (127V), FABRICADA COM MATERIAL TERMOPLÁSTICO DE ALTO IMPACTO DE PVC ANTI-CHAMA, INSTALADO EM TAMPA PARA CONDULETE EM ALUMÍNIO. O PRODUTO DEVE ESTAR DE ACORDO COM A NORMA NBR14136.</t>
  </si>
  <si>
    <t xml:space="preserve">SUPORTE DE FIXACAO PARA ESPELHO / PLACA 4" X 2", PARA 3 MODULOS, PARA INSTALACAO DE TOMADAS E INTERRUPTORES (SOMENTE SUPORTE)                                                                                                                                                                                                                                                                                                                                                                             </t>
  </si>
  <si>
    <t xml:space="preserve">TOMADA 2P+T 10A, 250V  (APENAS MODULO)                                                                                                                                                                                                                                                                                                                                                                                                                                                                    </t>
  </si>
  <si>
    <t>FORNECIMENTO E INSTALAÇÃO DE CABO BIPOLAR 2 X 1,5MM COM BLINDAGEM ELETROSTÁTICA (PARA LIGAÇÃO DOS ACIONADORES E SIRENES DO SISTEMA DE ALARME)</t>
  </si>
  <si>
    <t xml:space="preserve">FITA ISOLANTE ADESIVA ANTICHAMA, USO ATE 750 V, EM ROLO DE 19 MM X 5 M                                                                                                                                                                                                                                                                                                                                                                                                                                    </t>
  </si>
  <si>
    <t>CABO BIPOLAR 2 X 1,5MM COM BLINDAGEM ELETROSTÁTICA - ROLO 100M</t>
  </si>
  <si>
    <t>91927 (Adaptada)</t>
  </si>
  <si>
    <t xml:space="preserve">FORNECIMENTO E INSTALAÇÃO DE TAPUME DE VEDACAO OU PROTECAO, EXECUTADO COM TAPUME ECOLÓGICO EM PLACAS DE 2,00M X 0,97M, H = 1,90M E ESPESSURA DE 3MM (REF.: TAPUME ECOLÓGICO ONDULINE), ESTRUTURA DE FIXAÇÃO COM PONTALETES 7,5CM X 7,5CM EM PINUS OU EQUIVALENTE. </t>
  </si>
  <si>
    <t>CARPINTEIRO DE FORMAS COM ENCARGOS COMPLEMENTARES</t>
  </si>
  <si>
    <t xml:space="preserve">PONTALETE *7,5 X 7,5* CM EM PINUS, MISTA OU EQUIVALENTE DA REGIAO - BRUTA                                                                                                                                                                                                                                                                                                                                                                                                                                 </t>
  </si>
  <si>
    <t xml:space="preserve">M     </t>
  </si>
  <si>
    <t xml:space="preserve">PREGO DE ACO POLIDO COM CABECA 18 X 30 (2 3/4 X 10)                                                                                                                                                                                                                                                                                                                                                                                                                                                       </t>
  </si>
  <si>
    <t xml:space="preserve">KG    </t>
  </si>
  <si>
    <t xml:space="preserve">PREGO DE ACO POLIDO COM CABECA 17 X 27 (2 1/2 X 11)                                                                                                                                                                                                                                                                                                                                                                                                                                                       </t>
  </si>
  <si>
    <t xml:space="preserve">PARAFUSO ZINCADO ROSCA SOBERBA, CABECA SEXTAVADA, 5/16 " X 50 MM, PARA FIXACAO DE TELHA EM MADEIRA                                                                                                                                                                                                                                                                                                                                                                                                        </t>
  </si>
  <si>
    <t>TAPUME ECOLÓGICO 2MX97CM VERDE ONDULINE</t>
  </si>
  <si>
    <t>FORNECIMENTO E INSTALAÇÃO DE CONES, 75CM, COM ENTREGA DOS MESMOS PARA A UNIDADE PÓS UTILIZAÇÃO</t>
  </si>
  <si>
    <t xml:space="preserve">CONE DE SINALIZACAO EM PVC RIGIDO COM FAIXA REFLETIVA, H = 70 / 76 CM                                                                                                                                                                                                                                                                                                                                                                                                                                     </t>
  </si>
  <si>
    <t>FORNECIMENTO E INSTALAÇÃO DE FITA ZEBRADA PARA SINALIZAÇÃO</t>
  </si>
  <si>
    <t>SUDECAP/BH - Out/2022 (Insumo)</t>
  </si>
  <si>
    <t>84.20.20</t>
  </si>
  <si>
    <t>FITA ZEBRADA PARA SINALIZAÇAO ROLO DE 200M</t>
  </si>
  <si>
    <t>ELABORAÇÃO DE PROJETO EXECUTIVO DE TERRAPLENAGEM, PARA ESTACIONAMENTO, INCLUINDO "AS BUILT" E ADEQUAÇÃO AOS ELEMENTOS EXISTENTES. CONSTITUÍDO POR NO MÍNIMO OS ITENS ENUNCIADOS A SEGUIR. APRESENTAÇÃO DE ART (ANOTAÇÃO DE RESPONSABILIDADE TÉCNICA) QUITADA. APRESENTAÇÃO DO PROJETO EM PAPEL (02 CÓPIAS ASSINADAS) E EM MEIO ELETRÔNICO, MEMORIAL DESCRITIVO, ESPECIFICAÇÕES TÉCNICAS E LISTAGEM DAS CARACTERÍSTICAS DIMENSIONAIS E CONSTRUTIVAS E LEVANTAMENTO DO QUANTITATIVO DOS MATERIAIS, LEVANTAMENTOS DE CORTE, DE ATERRO E BOTA-FORA. APRESENTAÇÃO DE PLANTA (AS) BAIXA (AS) , MOSTRANDO A POSIÇÃO E TIPO DOS DIVERSOS COMPONENTES DAS INSTALAÇÕES. APRESENTAÇÃO DE CORTES, SEÇÕES TRANSVERSAIS E DETALHES. (ELABORAR APENAS MEDIANTE AUTORIZAÇÃO EXPRESSA DA FISCALIZAÇÃO).</t>
  </si>
  <si>
    <t>62.01.10</t>
  </si>
  <si>
    <t>PROJETO DE TERRAPLENAGEM (PLANTA)</t>
  </si>
  <si>
    <t>A1</t>
  </si>
  <si>
    <t>62.01.11</t>
  </si>
  <si>
    <t>PROJETO DE TERRAPLENAGEM (SEÇOES)</t>
  </si>
  <si>
    <t>ART - TABELA CREA-MG/2022</t>
  </si>
  <si>
    <t>REMOÇÃO CUIDADOSA DE GRADIL. INCLUSIVE AFASTAMENTO E EMPILHAMENTO PARA REUTILIZAÇÃO</t>
  </si>
  <si>
    <t>ED-48434 (Adaptada)</t>
  </si>
  <si>
    <t>INSTALAÇÃO DE GRADIL E PORTÃO NYLOFOR 3D, H=2,03 A H=2,43 M (EXCLUSIVE FORNECIMENTO DE MATERIAL)</t>
  </si>
  <si>
    <t>SUDECAP-BH - 06/2022</t>
  </si>
  <si>
    <t>13.38.30 (Adaptada)</t>
  </si>
  <si>
    <t>MOBILIZAÇÃO E DESMOBILIZAÇÃO DA OBRA, ADMINISTRAÇÃO LOCAL (INCLUSIVE PESSOAL LOCAL PARA APOIO À OBRA), MOVIMENTAÇÕES (SEJAM HORIZONTAIS E/OU VERTICAIS/IÇAMENTOS) DE MATERIAIS/EQUIPAMENTOS NA OBRA E INSTALAÇÕES PROVISÓRIAS DE ELÉTRICA E HIDRO-SANITÁRIAS (MEDIÇÃO DE 75% PARA MOBILIZAÇÃO E 25% NA ÚLTIMA MEDIÇÃO) E TRANSPORTES/FRETES</t>
  </si>
  <si>
    <t>41.02.01</t>
  </si>
  <si>
    <t>INSTALACAO PROVISORIA DE AGUA</t>
  </si>
  <si>
    <t>ED-16342</t>
  </si>
  <si>
    <t>LIGAÇÃO PROVISÓRIA DE ENERGIA ELÉTRICA PARA CONTAINER</t>
  </si>
  <si>
    <t>un</t>
  </si>
  <si>
    <t>ED-50137</t>
  </si>
  <si>
    <t>MOBILIZAÇÃO E DESMOBILIZAÇÃO DE CONTAINER, INCLUSIVE CARGA, DESCARGA E TRANSPORTE EM CAMINHÃO CARROCERIA COM GUINDAUTO (MUNCK), EXCLUSIVE LOCAÇÃO DO CONTAINER</t>
  </si>
  <si>
    <t>45.01.03</t>
  </si>
  <si>
    <t>LOCAÇÃO VEICULO TIPO PICAPE LEVE C/ SEGURO SEM COMBUSTÍVEL</t>
  </si>
  <si>
    <t>MES</t>
  </si>
  <si>
    <t>ENGENHEIRO CIVIL (DE OBRA), EQUIVALENTE A 2 HORAS DIÁRIAS, DURANTE TODA DURAÇÃO DA OBRA (COM MEDIÇÃO PROPORCIONAL À MEDIÇÃO DO PERÍODO)</t>
  </si>
  <si>
    <t xml:space="preserve">SEGURO - MENSALISTA (COLETADO CAIXA - ENCARGOS COMPLEMENTARES)                                                                                                                                                                                                                                                                                                                                                                                                                                            </t>
  </si>
  <si>
    <t xml:space="preserve">MES   </t>
  </si>
  <si>
    <t xml:space="preserve">FERRAMENTAS - FAMILIA ENGENHEIRO CIVIL - MENSALISTA (ENCARGOS COMPLEMENTARES - COLETADO CAIXA)                                                                                                                                                                                                                                                                                                                                                                                                            </t>
  </si>
  <si>
    <t xml:space="preserve">EPI - FAMILIA ENGENHEIRO CIVIL - MENSALISTA (ENCARGOS COMPLEMENTARES - COLETADO CAIXA)                                                                                                                                                                                                                                                                                                                                                                                                                    </t>
  </si>
  <si>
    <t>ENGENHEIRO CIVIL - SALÁRIO 2022 - TIMÓTEO, MG</t>
  </si>
  <si>
    <t>ENCARGOS SOCIAIS DESONERADOS: 49,50% (MÊS)</t>
  </si>
  <si>
    <t>OBS: Considerado 2 horas por dia x 22 dias por mês x 6 meses</t>
  </si>
  <si>
    <t>SINAPI - 06/2022</t>
  </si>
  <si>
    <t>93565 (Adaptada)</t>
  </si>
  <si>
    <t>ENCARREGADO DE OBRA, EM TEMPO INTEGRAL DE SERVIÇO NO CANTEIRO DE OBRAS, DURANTE TODA DURAÇÃO DA OBRA (COM MEDIÇÃO PROPORCIONAL À MEDIÇÃO DO PERÍODO)</t>
  </si>
  <si>
    <t xml:space="preserve">FERRAMENTAS - FAMILIA ENCARREGADO GERAL - MENSALISTA (ENCARGOS COMPLEMENTARES - COLETADO CAIXA)                                                                                                                                                                                                                                                                                                                                                                                                           </t>
  </si>
  <si>
    <t xml:space="preserve">EPI - FAMILIA ENCARREGADO GERAL - MENSALISTA (ENCARGOS COMPLEMENTARES - COLETADO CAIXA)                                                                                                                                                                                                                                                                                                                                                                                                                   </t>
  </si>
  <si>
    <t>ENCARREGADO DE OBRAS - SALÁRIO 2022 - TIMÓTEO, MG</t>
  </si>
  <si>
    <t>OBS: Considerado tempor integral (44 horas semanais) durante 6 meses</t>
  </si>
  <si>
    <t>93572 (Adaptada)</t>
  </si>
  <si>
    <t>SERVIÇO DE LIMPEZA PERMANENTE DE OBRA E TRANSPORTES DE MATERIAIS NA OBRA, DURANTE TODA DURAÇÃO DA OBRA (COM MEDIÇÃO PROPORCIONAL À MEDIÇÃO DO PERÍODO)</t>
  </si>
  <si>
    <t>OBS: Considerado 1 hora por dia x 22 dias por mês x 6 meses = 66H</t>
  </si>
  <si>
    <t>FORNECIMENTO E INSTALAÇÃO DE TAPUME DE VEDACAO OU PROTECAO, EXECUTADO COM TAPUME ECOLÓGICO EM PLACAS DE 2,00M X 0,97M, E ESPESSURA DE 3MM (REF.: TAPUME ECOLÓGICO ONDULINE) E TELA PLASTICA LARANJA, TIPO TAPUME PARA SINALIZACAO, MALHA RETANGULAR, ESTRUTURA DE FIXAÇÃO COM PONTALETES 7,5CM X 7,5CM EM PINUS OU EQUIVALENTE. (ALTURA TOTAL 1,90M - 0,97M DE TAPUME DE VEDAÇÃO E RESTANTE DA ALTURA EM TELA PLÁSTICA LARANJA DE SINALIZAÇÃO)</t>
  </si>
  <si>
    <t xml:space="preserve">TELA PLASTICA LARANJA, TIPO TAPUME PARA SINALIZACAO, MALHA RETANGULAR, ROLO 1.20 X 50 M (L X C)                                                                                                                                                                                                                                                                                                                                                                                                           </t>
  </si>
  <si>
    <t>FORNECIMENTO E EXECUÇÃO DE POÇO DE VISITA PARA REDE PLUVIAL EM ANEL DE CONCRETO PRÉ MOLDADO, DIÂMETRO INTERNO = 1,0M, PROFUNDIDADE MÁXIMA DE 2,0 METROS COM TAMPÃO ARTICULADO DE FERRO FUNDIDO, CLASSE B125 CARGA MÁXIMA 12,5 TONELADAS. BASE EM CONCRETO E REJUNTAMENTO DOS ANEIS COM ARGAMASSA 1:4</t>
  </si>
  <si>
    <t>ACRÉSCIMO PARA POÇO DE VISITA CIRCULAR PARA ESGOTO, EM CONCRETO PRÉ-MOLDADO, DIÂMETRO INTERNO = 1 M. AF_12/2020</t>
  </si>
  <si>
    <t>TAMPA CIRCULAR PARA ESGOTO E DRENAGEM, EM FERRO FUNDIDO, DIÂMETRO INTERNO = 0,6 M. AF_12/2020</t>
  </si>
  <si>
    <t>BASE PARA POÇO DE VISITA CIRCULAR PARA DRENAGEM, EM CONCRETO PRÉ-MOLDADO, DIÂMETRO INTERNO = 1,0 M, PROFUNDIDADE = 1,35 M, EXCLUINDO TAMPÃO. AF_05/2018_PA</t>
  </si>
  <si>
    <t>ELABORAÇÃO DE PROJETO EXECUTIVO DE INSTALAÇÕES HIDRO-SANITÁRIAS, PARA SISTEMA DE IRRIGAÇÃO DO ESTACIONAMENTO, INCLUSIVE COMPABIBILIZAÇÕES, COMPLEMENTAÇÕES, ADEQUAÇÕES E "AS BUILT". CONSTITUÍDO POR NO MÍNIMO OS ITENS ENUNCIADOS A SEGUIR: APRESENTAÇÃO DE ART (ANOTAÇÃO DE RESPONSABILIDADE TÉCNICA) QUITADA. APRESENTAÇÃO DO PROJETO EM PAPEL (02 CÓPIAS ASSINADAS) E EM MEIO ELETRÔNICO, MEMORIAL DESCRITIVO, ESPECIFICAÇÕES TÉCNICAS E LISTAGEM DAS CARACTERÍSTICAS DIMENSIONAIS, CONSTRUTIVAS E QUANTITATIVOS DOS MATERIAIS A SEREM  UTILIZADOS. APRESENTAÇÃO DE PLANTA (AS) BAIXA (AS) , MOSTRANDO A POSIÇÃO E TIPO DOS DIVERSOS COMPONENTES DO PROJETO. APRESENTAÇÃO DE PERSPECTIVAS. APRESENTAÇÃO DO ISOMÉTRICO. APRESENTAÇÃO DE CORTES E DETALHES. (ELABORAR APENAS MEDIANTE AUTORIZAÇÃO EXPRESSA DA FISCALIZAÇÃO).</t>
  </si>
  <si>
    <t>62.01.26</t>
  </si>
  <si>
    <t>PROJETO DE IRRIGAÇAO</t>
  </si>
  <si>
    <t>ELABORAÇÃO DE PROJETO EXECUTIVO DE DRENAGEM PLUVIAL, PARA ESTACIONAMENTO E CALÇADAS, INCLUSIVE COMPABIBILIZAÇÕES, COMPLEMENTAÇÕES, ADEQUAÇÕES E "AS BUILT". CONSTITUÍDO POR NO MÍNIMO OS ITENS ENUNCIADOS A SEGUIR: APRESENTAÇÃO DE ART (ANOTAÇÃO DE RESPONSABILIDADE TÉCNICA) QUITADA. APRESENTAÇÃO DO PROJETO EM PAPEL (02 CÓPIAS ASSINADAS) E EM MEIO ELETRÔNICO, MEMORIAL DESCRITIVO, ESPECIFICAÇÕES TÉCNICAS E LISTAGEM DAS CARACTERÍSTICAS DIMENSIONAIS, CONSTRUTIVAS E QUANTITATIVOS DOS MATERIAIS A SEREM  UTILIZADOS. APRESENTAÇÃO DE PLANTA (AS) BAIXA (AS) , MOSTRANDO A POSIÇÃO E TIPO DOS DIVERSOS COMPONENTES DO PROJETO. APRESENTAÇÃO DE PERSPECTIVAS. APRESENTAÇÃO DO ISOMÉTRICO. APRESENTAÇÃO DE CORTES E DETALHES. (ELABORAR APENAS MEDIANTE AUTORIZAÇÃO EXPRESSA DA FISCALIZAÇÃO).</t>
  </si>
  <si>
    <t>62.01.12</t>
  </si>
  <si>
    <t>PROJETO DE DRENAGEM PLUVIAL</t>
  </si>
  <si>
    <t>ELABORAÇÃO DE REVISÃO E ADEQUAÇÃO DE PROJETO EXECUTIVO DE PREVENÇÃO E COMBATE A INCÊNDIO EXISTENTE (INCLUSIVE APROVAÇÃO NO CBMG), PARA O CAMPUS TIMÓTEO, INCLUSIVE COMPABIBILIZAÇÕES, COMPLEMENTAÇÕES, ADEQUAÇÕES E "AS BUILT". CONSTITUÍDO POR NO MÍNIMO OS ITENS ENUNCIADOS A SEGUIR: APRESENTAÇÃO DE ART (ANOTAÇÃO DE RESPONSABILIDADE TÉCNICA) QUITADA. APRESENTAÇÃO DO PROJETO EM PAPEL (02 CÓPIAS ASSINADAS) E EM MEIO ELETRÔNICO, MEMORIAL DESCRITIVO, ESPECIFICAÇÕES TÉCNICAS E LISTAGEM DAS CARACTERÍSTICAS DIMENSIONAIS, CONSTRUTIVAS E QUANTITATIVOS DOS MATERIAIS A SEREM  UTILIZADOS. APRESENTAÇÃO DE PLANTA (AS) BAIXA (AS) , MOSTRANDO A POSIÇÃO E TIPO DOS DIVERSOS COMPONENTES DO PROJETO. APRESENTAÇÃO DE PERSPECTIVAS. APRESENTAÇÃO DO ISOMÉTRICO. APRESENTAÇÃO DE CORTES E DETALHES. (ELABORAR APENAS MEDIANTE AUTORIZAÇÃO EXPRESSA DA FISCALIZAÇÃO).</t>
  </si>
  <si>
    <t>ENGENHEIRO CIVIL JUNIOR COM ENCARGOS COMPLEMENTARES</t>
  </si>
  <si>
    <t>FORNECIMENTO E EXECUÇÃO DE BASE PARA PAVIMENTAÇÃO COM BRITA CORRIDA, INCLUSIVE COMPACTAÇÃO - H MÉDIO = 15CM</t>
  </si>
  <si>
    <t>CAMINHÃO PIPA 10.000 L TRUCADO, PESO BRUTO TOTAL 23.000 KG, CARGA ÚTIL MÁXIMA 15.935 KG, DISTÂNCIA ENTRE EIXOS 4,8 M, POTÊNCIA 230 CV, INCLUSIVE TANQUE DE AÇO PARA TRANSPORTE DE ÁGUA - CHP DIURNO. AF_06/2014</t>
  </si>
  <si>
    <t>CAMINHÃO PIPA 10.000 L TRUCADO, PESO BRUTO TOTAL 23.000 KG, CARGA ÚTIL MÁXIMA 15.935 KG, DISTÂNCIA ENTRE EIXOS 4,8 M, POTÊNCIA 230 CV, INCLUSIVE TANQUE DE AÇO PARA TRANSPORTE DE ÁGUA - CHI DIURNO. AF_06/2014</t>
  </si>
  <si>
    <t>ROLO COMPACTADOR VIBRATÓRIO DE UM CILINDRO AÇO LISO, POTÊNCIA 80 HP, PESO OPERACIONAL MÁXIMO 8,1 T, IMPACTO DINÂMICO 16,15 / 9,5 T, LARGURA DE TRABALHO 1,68 M - CHP DIURNO. AF_06/2014</t>
  </si>
  <si>
    <t>ROLO COMPACTADOR DE PNEUS ESTÁTICO, PRESSÃO VARIÁVEL, POTÊNCIA 111 HP, PESO SEM/COM LASTRO 9,5 / 26 T, LARGURA DE TRABALHO 1,90 M - CHP DIURNO. AF_07/2014</t>
  </si>
  <si>
    <t>MOTONIVELADORA POTÊNCIA BÁSICA LÍQUIDA (PRIMEIRA MARCHA) 125 HP, PESO BRUTO 13032 KG, LARGURA DA LÂMINA DE 3,7 M - CHP DIURNO. AF_06/2014</t>
  </si>
  <si>
    <t>MOTONIVELADORA POTÊNCIA BÁSICA LÍQUIDA (PRIMEIRA MARCHA) 125 HP, PESO BRUTO 13032 KG, LARGURA DA LÂMINA DE 3,7 M - CHI DIURNO. AF_06/2014</t>
  </si>
  <si>
    <t xml:space="preserve">PEDRA BRITADA OU BICA CORRIDA, NAO CLASSIFICADA (POSTO PEDREIRA/FORNECEDOR, SEM FRETE)                                                                                                                                                                                                                                                                                                                                                                                                                    </t>
  </si>
  <si>
    <t>TRANSPORTE COM CAMINHÃO BASCULANTE DE 18 M³, EM VIA URBANA PAVIMENTADA, DMT ATÉ 30 KM (UNIDADE: M3XKM). AF_07/2020</t>
  </si>
  <si>
    <t>20.06.03  (Adaptada)</t>
  </si>
  <si>
    <t>ELABORAÇÃO DE PROJETO EXECUTIVO DE ESTRUTURA DE CONCRETO ARMADO, PARA CANALETAS EM CONCRETO, INCLUSIVE COMPABIBILIZAÇÕES, COMPLEMENTAÇÕES, ADEQUAÇÕES E "AS BUILT". CONSTITUÍDO POR NO MÍNIMO OS ITENS ENUNCIADOS A SEGUIR: APRESENTAÇÃO DE ART (ANOTAÇÃO DE RESPONSABILIDADE TÉCNICA) QUITADA. APRESENTAÇÃO DO PROJETO EM PAPEL (02 CÓPIAS ASSINADAS) E EM MEIO ELETRÔNICO, MEMORIAL DESCRITIVO, ESPECIFICAÇÕES TÉCNICAS E LISTAGEM DAS CARACTERÍSTICAS DIMENSIONAIS, CONSTRUTIVAS E QUANTITATIVOS DOS MATERIAIS A SEREM  UTILIZADOS. APRESENTAÇÃO DE PLANTA (AS) BAIXA (AS) , MOSTRANDO A POSIÇÃO E TIPO DOS DIVERSOS COMPONENTES DO PROJETO. APRESENTAÇÃO DE PERSPECTIVAS. APRESENTAÇÃO DO ISOMÉTRICO. APRESENTAÇÃO DE CORTES E DETALHES. (ELABORAR APENAS MEDIANTE AUTORIZAÇÃO EXPRESSA DA FISCALIZAÇÃO).</t>
  </si>
  <si>
    <t>62.01.16</t>
  </si>
  <si>
    <t>PROJETO DE ESTRUTURA DE CONCRETO</t>
  </si>
  <si>
    <t>REMOÇÃO CUIDADOSA DE TOLDO DE COBERTURA PARA CARROS OFICIAIS, INCLUSIVE AFASTAMENTO E ARMAZENAMENTO PARA POSTERIOR INSTALAÇÃO</t>
  </si>
  <si>
    <t>EXECUÇÃO DE CORTE E SUPRESSÃO DE ÁRVORE, INCLUSIVE REMOÇÃO DE RAÍZES REMANESCENTES</t>
  </si>
  <si>
    <t>CORTE RASO E RECORTE DE ÁRVORE COM DIÂMETRO DE TRONCO MAIOR OU IGUAL A 0,60 M.AF_05/2018</t>
  </si>
  <si>
    <t>REMOÇÃO DE RAÍZES REMANESCENTES DE TRONCO DE ÁRVORE COM DIÂMETRO MAIOR OU IGUAL A 0,60 M.AF_05/2018</t>
  </si>
  <si>
    <t>EXECUÇÃO DE PISO INTERTRAVADO, COM BLOCO PAVER RETANGULAR, 10X20CM, ESPESSURA 6CM, RESISTÊNCIA DE 35MPA. INCLUSO SERVIÇOS DE ACABAMENTO, COMPACTAÇÃO E COLCHÃO DE AREIA COM ESPESSURA MÍNIMA DE 5CM SOBRE A BASE (REASSENTAMENTO COM PAVER RETANGULAR REMOVIDO)</t>
  </si>
  <si>
    <t>CALCETEIRO COM ENCARGOS COMPLEMENTARES</t>
  </si>
  <si>
    <t>CORTADORA DE PISO COM MOTOR 4 TEMPOS A GASOLINA, POTÊNCIA DE 13 HP, COM DISCO DE CORTE DIAMANTADO SEGMENTADO PARA CONCRETO, DIÂMETRO DE 350 MM, FURO DE 1" (14 X 1") - CHP DIURNO. AF_08/2015</t>
  </si>
  <si>
    <t>CORTADORA DE PISO COM MOTOR 4 TEMPOS A GASOLINA, POTÊNCIA DE 13 HP, COM DISCO DE CORTE DIAMANTADO SEGMENTADO PARA CONCRETO, DIÂMETRO DE 350 MM, FURO DE 1" (14 X 1") - CHI DIURNO. AF_08/2015</t>
  </si>
  <si>
    <t xml:space="preserve">AREIA MEDIA - POSTO JAZIDA/FORNECEDOR (RETIRADO NA JAZIDA, SEM TRANSPORTE)                                                                                                                                                                                                                                                                                                                                                                                                                                </t>
  </si>
  <si>
    <t xml:space="preserve">PO DE PEDRA (POSTO PEDREIRA/FORNECEDOR, SEM FRETE)                                                                                                                                                                                                                                                                                                                                                                                                                                                        </t>
  </si>
  <si>
    <t>92397 (Adaptada)</t>
  </si>
  <si>
    <t>REINSTLAÇÃO DE TOLDO DE COBERTURA PARA CARROS OFICIAIS</t>
  </si>
  <si>
    <t>FORNECIMENTO E INSTALAÇÃO DE TELA DE SOMBREAMENTO, ACABAMENTO E BAINHA COM FIO REFORÇADO, RESISTÊNCIA À RADIAÇÃO ULTRA VIOLETA E DEMAIS ITENS NECESSÁRIOS À INSTALAÇÃO</t>
  </si>
  <si>
    <t>MONTADOR DE ESTRUTURA METÁLICA COM ENCARGOS COMPLEMENTARES</t>
  </si>
  <si>
    <t>TELA SOMBRITE DECORATIVA 90% ESTACIONAMENTO 5X5</t>
  </si>
  <si>
    <t>FORNECIMENTO E INSTALAÇÃO DE JOELHO 90º ROSQUEADO EM AÇO GALVANIZADO EM REDE DE ALIMENTAÇÃO PARA HIDRANTE, CLASSE MEDIA, DN 2.1/2" (63MM), E = 3,65MM</t>
  </si>
  <si>
    <t xml:space="preserve">FITA VEDA ROSCA EM ROLOS DE 18 MM X 50 M (L X C)                                                                                                                                                                                                                                                                                                                                                                                                                                                          </t>
  </si>
  <si>
    <t xml:space="preserve">FUNDO ANTICORROSIVO PARA METAIS FERROSOS (ZARCAO)                                                                                                                                                                                                                                                                                                                                                                                                                                                         </t>
  </si>
  <si>
    <t>COTOVELO 90º 2.1/2" BSP - GALVANIZADO</t>
  </si>
  <si>
    <t>92390 (Adaptada)</t>
  </si>
  <si>
    <t>FORNECIMENTO E INSTALAÇÃO DE LUVA ROSQUEADA EM AÇO GALVANIZADO EM REDE DE ALIMENTAÇÃO PARA HIDRANTE, CLASSE MEDIA, DN 2.1/2" (63MM), E = 3,65MM</t>
  </si>
  <si>
    <t>LUVA 2.1/2" BSP - GALVANIZADA</t>
  </si>
  <si>
    <t>92378 (Adaptada)</t>
  </si>
  <si>
    <t>FORNECIMENTO E INSTALAÇÃO DE TÊ ROSQUEADO EM AÇO GALVANIZADO EM REDE DE ALIMENTAÇÃO PARA HIDRANTE, CLASSE MEDIA, DN 2.1/2" (63MM), E = 3,65MM</t>
  </si>
  <si>
    <t>TÊ 90º 2.1/2" BSP - GALVANIZADO</t>
  </si>
  <si>
    <t>92642 (Adaptada)</t>
  </si>
  <si>
    <t>FORNECIMENTO E ASSENTAMENTO DE MEIO FIO EM CONCRETO, FCK &gt;= 20,0 MPA, SEÇÃO TRAPEZOIDAL (12CM X 18CM X 45CM), ALINHADO E REJUNTADO, INCLUSIVE ESCAVAÇÃO, APILOAMENTO DO FUNDO DA CAVA, REATERRO E AFASTAMENTO DO MATERIAL ESCAVADO</t>
  </si>
  <si>
    <t>ARGAMASSA TRAÇO 1:3 (EM VOLUME DE CIMENTO E AREIA MÉDIA ÚMIDA), PREPARO MANUAL. AF_08/2019</t>
  </si>
  <si>
    <t xml:space="preserve">MEIO-FIO OU GUIA DE CONCRETO, PRE-MOLDADO, COMP 80 CM, *45 X 12/18* CM (H X L1/L2)                                                                                                                                                                                                                                                                                                                                                                                                                        </t>
  </si>
  <si>
    <t>SINAPI - 08/2022</t>
  </si>
  <si>
    <t>94273 (Adaptada)</t>
  </si>
  <si>
    <t>MOBILIZAÇÃO/DESMOBILIZAÇÃO DOS EQUIPAMENTOS EM GERAL UTILIZADOS PARA ESCAVAÇÃO, PREPARO DO TERRENO E EXECUÇÃO DA BASE.</t>
  </si>
  <si>
    <t>ED-49750</t>
  </si>
  <si>
    <t>MOBILIZAÇÃO E DESMOBILIZAÇÃO DE EQUIPAMENTO PARA BROCA TRADO DMT ATÉ 50 KM</t>
  </si>
  <si>
    <t>* Estimativa de mobilização considerando equipamentos similares aos utilizados na escavação, preparo do terreno e execução da base.</t>
  </si>
  <si>
    <t>FORNECIMENTO E INSTALAÇÃO DE CHUMBADOR PARA RECEBIMENTO DA ESTRUTURA DOS TOLDOS.</t>
  </si>
  <si>
    <t xml:space="preserve">CHAPA DE ACO GROSSA, ASTM A36, E = 3/8 " (9,53 MM) 74,69 KG/M2                                                                                                                                                                                                                                                                                                                                                                                                                                            </t>
  </si>
  <si>
    <t xml:space="preserve">ELETRODO REVESTIDO AWS - E6013, DIAMETRO IGUAL A 2,50 MM                                                                                                                                                                                                                                                                                                                                                                                                                                                  </t>
  </si>
  <si>
    <t xml:space="preserve">CHUMBADOR DE ACO, DIAMETRO 5/8", COMPRIMENTO 6", COM PORCA                                                                                                                                                                                                                                                                                                                                                                                                                                                </t>
  </si>
  <si>
    <t>ALUGUEL DE CAÇAMBA - 5M3</t>
  </si>
  <si>
    <t>FORNECIMENTO E INSTALAÇÃO DE CABO ÓPTICO TIPO “TIGHT” CONSTITUÍDO POR FIBRAS SM(MONOMODO), COM REVESTIMENTO PRIMÁRIO EM ACRILATO E REVESTIMENTO SECUNDÁRIO EM MATERIAL POLIMÉRICO COLORIDO (900 µM), REUNIDAS E REVESTIDAS POR FIBRAS SINTÉTICAS DIELÉTRICAS PARA SUPORTE MECÂNICO (RESISTÊNCIA À TRAÇÃO) E COBERTAS POR CAPA EXTERNA EM POLÍMERO PARA USO INTERNO E EXTERNO. NÃO PROPAGANTE A CHAMA E RESISTÊN+D84TE A FUNGOS E RAIOS ULTRA-VIOLETA. DEVE POSSUIR ELEMENTOS QUE TORNEM A FIBRA RESISTÊNTE A TRAÇÃO(MÍNIMO DE 150KGF) E O CONJUNTO DEVE SER PROTEGIDO CONTRA PENETRAÇÃO DE ÁGUA. DEVE CONTER 6 FIBRAS INTERNAS MONOMODO DE 9 µM. DESIGNAÇÃO ABNT: CFOT-SM-EO-06. REFERÊNCIA: FURUKAWA 28070005.</t>
  </si>
  <si>
    <t>FIBRA ÓPTICA - 6 FIBRAS MONOMODO DE 9 µm</t>
  </si>
  <si>
    <t>FORNECIMENTO E INSTALAÇÃO DE GRELHA EM FERRO FUNDIDO ARTICULADA PARA TRÁFEGO PESADO - 30X90CM), COM SISTEMA ANTI DERRAPAGEM.</t>
  </si>
  <si>
    <t>GRELHA BOCA DE LOBO ARTICULADA 30x90CM - FERRO FUNDIDO</t>
  </si>
  <si>
    <t>EXECUÇÃO DE SERVIÇO DE FUSÃO E CERTIFICAÇÃO DA FIBRA ÓPTICA COM EMISSÃO DE RELATÓRIOS (IMPRESSO E ARQUIVO ELETRÔNICO), INCLUSIVE TODOS OS MATERIAIS NECESSÁRIOS.</t>
  </si>
  <si>
    <t>ENGENHEIRO ELETRICISTA COM ENCARGOS COMPLEMENTARES</t>
  </si>
  <si>
    <t>FORNECIMENTO E EXECUÇÃO DE INSTALAÇÃO DE CABO FLEXÍVEL DE 150 MM2 NO DISJUNTOR GERAL DO QDC OU EXECUÇÃO DE SERVIÇO DE EMENDA, INCLUSIVE TERMINAL DE COMPRESSÃO E DEMAIS ITENS NECESSÁRIOS PARA EXECUÇÃO DO SERVIÇO</t>
  </si>
  <si>
    <t xml:space="preserve">FITA ISOLANTE ADESIVA ANTICHAMA, USO ATE 750 V, EM ROLO DE 19 MM X 20 M                                                                                                                                                                                                                                                                                                                                                                                                                                   </t>
  </si>
  <si>
    <t xml:space="preserve">FITA ISOLANTE DE BORRACHA AUTOFUSAO, USO ATE 69 KV (ALTA TENSAO)                                                                                                                                                                                                                                                                                                                                                                                                                                          </t>
  </si>
  <si>
    <t>TERMINAL COMPRESSÃO 150MM2</t>
  </si>
  <si>
    <t>FORNECIMENTO E EXECUÇÃO DE INSTALAÇÃO DE CABO FLEXÍVEL DE 95 MM2 NO DISJUNTOR GERAL DO QDC OU EXECUÇÃO DE SERVIÇO DE EMENDA, INCLUSIVE TERMINAL DE COMPRESSÃO E DEMAIS ITENS NECESSÁRIOS PARA EXECUÇÃO DO SERVIÇO</t>
  </si>
  <si>
    <t xml:space="preserve">TERMINAL A COMPRESSAO EM COBRE ESTANHADO PARA CABO 95 MM2, 1 FURO E 1 COMPRESSAO, PARA PARAFUSO DE FIXACAO M12                                                                                                                                                                                                                                                                                                                                                                                            </t>
  </si>
  <si>
    <t>EXECUÇÃO DE SERVIÇO DE RETIRADA DOS CABOS EXISTENTES E RECOLOCAÇÃO</t>
  </si>
  <si>
    <t>FORNECECIMENTO E INSTALAÇÃO DE HASTE DE ATERRAMENTO TIPO CANTONEIRA DE AÇO ZINCADO 25MM X 25MM X 5MM, COMPRIMENTO 2,40M</t>
  </si>
  <si>
    <t xml:space="preserve">HASTE DE ATERRAMENTO EM ACO GALVANIZADO TIPO CANTONEIRA COM 2,00 M DE COMPRIMENTO, 25 X 25 MM E CHAPA DE 3/16"                                                                                                                                                                                                                                                                                                                                                                                            </t>
  </si>
  <si>
    <t>SINAPI - 10/2022</t>
  </si>
  <si>
    <t>96986 (Adaptada)</t>
  </si>
  <si>
    <t xml:space="preserve">FORNECIMENTO E INSTALAÇÃO DE CONECTOR DE PRESSÃO, SPLIT BOLT (MÍNIMO 50MM2) </t>
  </si>
  <si>
    <t>SICOR/MG - Out/2022 - Região Leste (Insumo)</t>
  </si>
  <si>
    <t>MATED-13949</t>
  </si>
  <si>
    <t>CONECTOR FENDIDO DE PRESSÃO "SPLIT-BOLT" ( ACABAMENTO: LATÃO| SEÇÃO DO CABO: 2,5-50MM2)</t>
  </si>
  <si>
    <t>FORNECIMENTO E APLICAÇÃO DE POLIURETANO (PU) PARA VEDAÇÃO DE PARAFUSOS E BUCHAS - RECIPIENTE 310 ML</t>
  </si>
  <si>
    <t xml:space="preserve">SELANTE ELASTICO MONOCOMPONENTE A BASE DE POLIURETANO (PU) PARA JUNTAS DIVERSAS                                                                                                                                                                                                                                                                                                                                                                                                                           </t>
  </si>
  <si>
    <t xml:space="preserve">310ML </t>
  </si>
</sst>
</file>

<file path=xl/styles.xml><?xml version="1.0" encoding="utf-8"?>
<styleSheet xmlns="http://schemas.openxmlformats.org/spreadsheetml/2006/main">
  <numFmts count="16">
    <numFmt numFmtId="164" formatCode="General"/>
    <numFmt numFmtId="165" formatCode="_(&quot;R$ &quot;* #,##0.00_);_(&quot;R$ &quot;* \(#,##0.00\);_(&quot;R$ &quot;* \-??_);_(@_)"/>
    <numFmt numFmtId="166" formatCode="_-&quot;R$ &quot;* #,##0.00_-;&quot;-R$ &quot;* #,##0.00_-;_-&quot;R$ &quot;* \-??_-;_-@_-"/>
    <numFmt numFmtId="167" formatCode="0.0000"/>
    <numFmt numFmtId="168" formatCode="General_)"/>
    <numFmt numFmtId="169" formatCode="0%"/>
    <numFmt numFmtId="170" formatCode="_(* #,##0.00_);_(* \(#,##0.00\);_(* \-??_);_(@_)"/>
    <numFmt numFmtId="171" formatCode="_-* #,##0.00_-;\-* #,##0.00_-;_-* \-??_-;_-@_-"/>
    <numFmt numFmtId="172" formatCode="General"/>
    <numFmt numFmtId="173" formatCode="0.00%"/>
    <numFmt numFmtId="174" formatCode="#,##0.00"/>
    <numFmt numFmtId="175" formatCode="&quot;R$ &quot;#,##0.00"/>
    <numFmt numFmtId="176" formatCode="0.00"/>
    <numFmt numFmtId="177" formatCode="0"/>
    <numFmt numFmtId="178" formatCode="@"/>
    <numFmt numFmtId="179" formatCode="#,##0.000000"/>
  </numFmts>
  <fonts count="51">
    <font>
      <sz val="10"/>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b/>
      <sz val="11"/>
      <color indexed="10"/>
      <name val="Calibri"/>
      <family val="2"/>
    </font>
    <font>
      <sz val="11"/>
      <color indexed="10"/>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52"/>
      <name val="Calibri"/>
      <family val="2"/>
    </font>
    <font>
      <sz val="11"/>
      <color indexed="19"/>
      <name val="Calibri"/>
      <family val="2"/>
    </font>
    <font>
      <sz val="11"/>
      <color indexed="60"/>
      <name val="Calibri"/>
      <family val="2"/>
    </font>
    <font>
      <sz val="10"/>
      <name val="Lucida Casual"/>
      <family val="0"/>
    </font>
    <font>
      <sz val="11"/>
      <color indexed="63"/>
      <name val="Calibri"/>
      <family val="2"/>
    </font>
    <font>
      <sz val="10"/>
      <name val="Courier New"/>
      <family val="3"/>
    </font>
    <font>
      <b/>
      <sz val="11"/>
      <color indexed="63"/>
      <name val="Calibri"/>
      <family val="2"/>
    </font>
    <font>
      <sz val="12"/>
      <name val="Times New Roman"/>
      <family val="1"/>
    </font>
    <font>
      <b/>
      <sz val="18"/>
      <color indexed="56"/>
      <name val="Cambria"/>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0"/>
      <name val="Arial"/>
      <family val="2"/>
    </font>
    <font>
      <sz val="9"/>
      <name val="Arial"/>
      <family val="2"/>
    </font>
    <font>
      <b/>
      <sz val="9"/>
      <name val="Arial"/>
      <family val="2"/>
    </font>
    <font>
      <b/>
      <sz val="14"/>
      <name val="Arial"/>
      <family val="2"/>
    </font>
    <font>
      <b/>
      <sz val="16"/>
      <name val="Arial"/>
      <family val="2"/>
    </font>
    <font>
      <sz val="14"/>
      <name val="Arial"/>
      <family val="2"/>
    </font>
    <font>
      <b/>
      <sz val="16"/>
      <color indexed="8"/>
      <name val="Arial"/>
      <family val="2"/>
    </font>
    <font>
      <sz val="12"/>
      <color indexed="8"/>
      <name val="Arial"/>
      <family val="2"/>
    </font>
    <font>
      <sz val="11"/>
      <color indexed="8"/>
      <name val="Arial"/>
      <family val="2"/>
    </font>
    <font>
      <i/>
      <sz val="14"/>
      <color indexed="8"/>
      <name val="Arial"/>
      <family val="2"/>
    </font>
    <font>
      <b/>
      <sz val="12"/>
      <name val="Arial"/>
      <family val="2"/>
    </font>
    <font>
      <sz val="12"/>
      <name val="Arial"/>
      <family val="2"/>
    </font>
    <font>
      <sz val="10"/>
      <color indexed="10"/>
      <name val="Arial"/>
      <family val="2"/>
    </font>
    <font>
      <sz val="8"/>
      <name val="Arial"/>
      <family val="2"/>
    </font>
    <font>
      <b/>
      <sz val="8"/>
      <name val="Arial"/>
      <family val="2"/>
    </font>
    <font>
      <u val="single"/>
      <sz val="10"/>
      <name val="Arial"/>
      <family val="2"/>
    </font>
    <font>
      <i/>
      <sz val="10"/>
      <name val="Arial"/>
      <family val="2"/>
    </font>
    <font>
      <b/>
      <sz val="24"/>
      <name val="Arial"/>
      <family val="2"/>
    </font>
    <font>
      <b/>
      <sz val="12"/>
      <color indexed="10"/>
      <name val="Arial"/>
      <family val="2"/>
    </font>
    <font>
      <b/>
      <sz val="10"/>
      <color indexed="10"/>
      <name val="Arial"/>
      <family val="2"/>
    </font>
    <font>
      <i/>
      <sz val="12"/>
      <color indexed="8"/>
      <name val="Arial"/>
      <family val="2"/>
    </font>
    <font>
      <i/>
      <sz val="10"/>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style="thin">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color indexed="63"/>
      </left>
      <right style="hair">
        <color indexed="8"/>
      </right>
      <top style="hair">
        <color indexed="8"/>
      </top>
      <bottom style="hair">
        <color indexed="8"/>
      </bottom>
    </border>
  </borders>
  <cellStyleXfs count="3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2"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3" borderId="0" applyNumberFormat="0" applyBorder="0" applyAlignment="0" applyProtection="0"/>
    <xf numFmtId="164" fontId="1" fillId="7" borderId="0" applyNumberFormat="0" applyBorder="0" applyAlignment="0" applyProtection="0"/>
    <xf numFmtId="164" fontId="1" fillId="11" borderId="0" applyNumberFormat="0" applyBorder="0" applyAlignment="0" applyProtection="0"/>
    <xf numFmtId="164" fontId="1" fillId="4" borderId="0" applyNumberFormat="0" applyBorder="0" applyAlignment="0" applyProtection="0"/>
    <xf numFmtId="164" fontId="1" fillId="11" borderId="0" applyNumberFormat="0" applyBorder="0" applyAlignment="0" applyProtection="0"/>
    <xf numFmtId="164" fontId="1" fillId="7" borderId="0" applyNumberFormat="0" applyBorder="0" applyAlignment="0" applyProtection="0"/>
    <xf numFmtId="164" fontId="1" fillId="5" borderId="0" applyNumberFormat="0" applyBorder="0" applyAlignment="0" applyProtection="0"/>
    <xf numFmtId="164" fontId="1" fillId="9"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11"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1" fillId="12"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3" borderId="0" applyNumberFormat="0" applyBorder="0" applyAlignment="0" applyProtection="0"/>
    <xf numFmtId="164" fontId="1" fillId="6"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4" borderId="0" applyNumberFormat="0" applyBorder="0" applyAlignment="0" applyProtection="0"/>
    <xf numFmtId="164" fontId="1" fillId="12" borderId="0" applyNumberFormat="0" applyBorder="0" applyAlignment="0" applyProtection="0"/>
    <xf numFmtId="164" fontId="1" fillId="11" borderId="0" applyNumberFormat="0" applyBorder="0" applyAlignment="0" applyProtection="0"/>
    <xf numFmtId="164" fontId="1" fillId="3" borderId="0" applyNumberFormat="0" applyBorder="0" applyAlignment="0" applyProtection="0"/>
    <xf numFmtId="164" fontId="1" fillId="5" borderId="0" applyNumberFormat="0" applyBorder="0" applyAlignment="0" applyProtection="0"/>
    <xf numFmtId="164" fontId="1" fillId="9" borderId="0" applyNumberFormat="0" applyBorder="0" applyAlignment="0" applyProtection="0"/>
    <xf numFmtId="164" fontId="1" fillId="6"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1" fillId="13" borderId="0" applyNumberFormat="0" applyBorder="0" applyAlignment="0" applyProtection="0"/>
    <xf numFmtId="164" fontId="1" fillId="7" borderId="0" applyNumberFormat="0" applyBorder="0" applyAlignment="0" applyProtection="0"/>
    <xf numFmtId="164" fontId="2" fillId="15"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6" borderId="0" applyNumberFormat="0" applyBorder="0" applyAlignment="0" applyProtection="0"/>
    <xf numFmtId="164" fontId="2" fillId="19" borderId="0" applyNumberFormat="0" applyBorder="0" applyAlignment="0" applyProtection="0"/>
    <xf numFmtId="164" fontId="2" fillId="13" borderId="0" applyNumberFormat="0" applyBorder="0" applyAlignment="0" applyProtection="0"/>
    <xf numFmtId="164" fontId="2" fillId="3"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20"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6" borderId="0" applyNumberFormat="0" applyBorder="0" applyAlignment="0" applyProtection="0"/>
    <xf numFmtId="164" fontId="5" fillId="9" borderId="1" applyNumberFormat="0" applyAlignment="0" applyProtection="0"/>
    <xf numFmtId="164" fontId="6" fillId="23" borderId="2" applyNumberFormat="0" applyAlignment="0" applyProtection="0"/>
    <xf numFmtId="164" fontId="7" fillId="24" borderId="1" applyNumberFormat="0" applyAlignment="0" applyProtection="0"/>
    <xf numFmtId="164" fontId="6" fillId="23" borderId="2" applyNumberFormat="0" applyAlignment="0" applyProtection="0"/>
    <xf numFmtId="164" fontId="8" fillId="0" borderId="3" applyNumberFormat="0" applyFill="0" applyAlignment="0" applyProtection="0"/>
    <xf numFmtId="164" fontId="9" fillId="14" borderId="1" applyNumberFormat="0" applyAlignment="0" applyProtection="0"/>
    <xf numFmtId="164" fontId="0" fillId="0" borderId="0">
      <alignment/>
      <protection/>
    </xf>
    <xf numFmtId="164" fontId="10" fillId="0" borderId="0" applyNumberFormat="0" applyFill="0" applyBorder="0" applyAlignment="0" applyProtection="0"/>
    <xf numFmtId="164" fontId="4" fillId="4" borderId="0" applyNumberFormat="0" applyBorder="0" applyAlignment="0" applyProtection="0"/>
    <xf numFmtId="164" fontId="11" fillId="0" borderId="4" applyNumberFormat="0" applyFill="0" applyAlignment="0" applyProtection="0"/>
    <xf numFmtId="164" fontId="12" fillId="0" borderId="5" applyNumberFormat="0" applyFill="0" applyAlignment="0" applyProtection="0"/>
    <xf numFmtId="164" fontId="13" fillId="0" borderId="6" applyNumberFormat="0" applyFill="0" applyAlignment="0" applyProtection="0"/>
    <xf numFmtId="164" fontId="13" fillId="0" borderId="0" applyNumberFormat="0" applyFill="0" applyBorder="0" applyAlignment="0" applyProtection="0"/>
    <xf numFmtId="164" fontId="14" fillId="0" borderId="0" applyNumberFormat="0" applyFill="0" applyBorder="0" applyAlignment="0" applyProtection="0"/>
    <xf numFmtId="164" fontId="3" fillId="5" borderId="0" applyNumberFormat="0" applyBorder="0" applyAlignment="0" applyProtection="0"/>
    <xf numFmtId="164" fontId="9" fillId="7" borderId="1" applyNumberFormat="0" applyAlignment="0" applyProtection="0"/>
    <xf numFmtId="164" fontId="15" fillId="0" borderId="7" applyNumberFormat="0" applyFill="0" applyAlignment="0" applyProtection="0"/>
    <xf numFmtId="165"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protection locked="0"/>
    </xf>
    <xf numFmtId="165" fontId="0" fillId="0" borderId="0" applyFill="0" applyBorder="0" applyAlignment="0" applyProtection="0"/>
    <xf numFmtId="166" fontId="0" fillId="0" borderId="0" applyFill="0" applyBorder="0" applyAlignment="0" applyProtection="0"/>
    <xf numFmtId="164" fontId="16" fillId="14" borderId="0" applyNumberFormat="0" applyBorder="0" applyAlignment="0" applyProtection="0"/>
    <xf numFmtId="164" fontId="17" fillId="14" borderId="0" applyNumberFormat="0" applyBorder="0" applyAlignment="0" applyProtection="0"/>
    <xf numFmtId="164" fontId="18"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9"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8" fontId="20" fillId="0" borderId="0">
      <alignment/>
      <protection/>
    </xf>
    <xf numFmtId="168" fontId="20" fillId="0" borderId="0">
      <alignment/>
      <protection/>
    </xf>
    <xf numFmtId="168" fontId="20"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18" fillId="0" borderId="0">
      <alignment/>
      <protection/>
    </xf>
    <xf numFmtId="164" fontId="0" fillId="0" borderId="0">
      <alignment/>
      <protection/>
    </xf>
    <xf numFmtId="164" fontId="1" fillId="0" borderId="0">
      <alignment/>
      <protection/>
    </xf>
    <xf numFmtId="164" fontId="18"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8" fontId="20" fillId="0" borderId="0">
      <alignment/>
      <protection/>
    </xf>
    <xf numFmtId="164" fontId="1" fillId="0" borderId="0">
      <alignment/>
      <protection/>
    </xf>
    <xf numFmtId="164" fontId="1" fillId="0" borderId="0">
      <alignment/>
      <protection/>
    </xf>
    <xf numFmtId="168" fontId="20"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0"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8"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0" fillId="11" borderId="9" applyNumberFormat="0" applyAlignment="0" applyProtection="0"/>
    <xf numFmtId="164" fontId="0" fillId="11" borderId="8" applyNumberFormat="0" applyAlignment="0" applyProtection="0"/>
    <xf numFmtId="164" fontId="21" fillId="9" borderId="10" applyNumberFormat="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4" fontId="21" fillId="24" borderId="10" applyNumberFormat="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64" fontId="22" fillId="0" borderId="0" applyNumberFormat="0" applyFill="0" applyBorder="0" applyAlignment="0" applyProtection="0"/>
    <xf numFmtId="164" fontId="0" fillId="0" borderId="0">
      <alignment/>
      <protection/>
    </xf>
    <xf numFmtId="164" fontId="8" fillId="0" borderId="0" applyNumberFormat="0" applyFill="0" applyBorder="0" applyAlignment="0" applyProtection="0"/>
    <xf numFmtId="164" fontId="10" fillId="0" borderId="0" applyNumberFormat="0" applyFill="0" applyBorder="0" applyAlignment="0" applyProtection="0"/>
    <xf numFmtId="164" fontId="23" fillId="0" borderId="0" applyNumberFormat="0" applyFill="0" applyBorder="0" applyAlignment="0" applyProtection="0"/>
    <xf numFmtId="164" fontId="24" fillId="0" borderId="11" applyNumberFormat="0" applyFill="0" applyAlignment="0" applyProtection="0"/>
    <xf numFmtId="164" fontId="25" fillId="0" borderId="12" applyNumberFormat="0" applyFill="0" applyAlignment="0" applyProtection="0"/>
    <xf numFmtId="164" fontId="26" fillId="0" borderId="13" applyNumberFormat="0" applyFill="0" applyAlignment="0" applyProtection="0"/>
    <xf numFmtId="164" fontId="27" fillId="0" borderId="14" applyNumberFormat="0" applyFill="0" applyAlignment="0" applyProtection="0"/>
    <xf numFmtId="164" fontId="27" fillId="0" borderId="0" applyNumberFormat="0" applyFill="0" applyBorder="0" applyAlignment="0" applyProtection="0"/>
    <xf numFmtId="164" fontId="28" fillId="0" borderId="0" applyNumberFormat="0" applyFill="0" applyBorder="0" applyAlignment="0" applyProtection="0"/>
    <xf numFmtId="170"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64" fontId="8" fillId="0" borderId="0" applyNumberFormat="0" applyFill="0" applyBorder="0" applyAlignment="0" applyProtection="0"/>
    <xf numFmtId="164" fontId="2" fillId="25" borderId="0" applyNumberFormat="0" applyBorder="0" applyAlignment="0" applyProtection="0"/>
    <xf numFmtId="164" fontId="2" fillId="19" borderId="0" applyNumberFormat="0" applyBorder="0" applyAlignment="0" applyProtection="0"/>
    <xf numFmtId="164" fontId="2" fillId="13" borderId="0" applyNumberFormat="0" applyBorder="0" applyAlignment="0" applyProtection="0"/>
    <xf numFmtId="164" fontId="2" fillId="26" borderId="0" applyNumberFormat="0" applyBorder="0" applyAlignment="0" applyProtection="0"/>
    <xf numFmtId="164" fontId="2" fillId="17" borderId="0" applyNumberFormat="0" applyBorder="0" applyAlignment="0" applyProtection="0"/>
    <xf numFmtId="164" fontId="2" fillId="21" borderId="0" applyNumberFormat="0" applyBorder="0" applyAlignment="0" applyProtection="0"/>
  </cellStyleXfs>
  <cellXfs count="287">
    <xf numFmtId="164" fontId="0" fillId="0" borderId="0" xfId="0" applyAlignment="1">
      <alignment/>
    </xf>
    <xf numFmtId="164" fontId="0" fillId="0" borderId="0" xfId="0" applyNumberFormat="1" applyAlignment="1" applyProtection="1">
      <alignment horizontal="left"/>
      <protection/>
    </xf>
    <xf numFmtId="164" fontId="0" fillId="0" borderId="0" xfId="0" applyNumberFormat="1" applyAlignment="1" applyProtection="1">
      <alignment/>
      <protection/>
    </xf>
    <xf numFmtId="164" fontId="0" fillId="0" borderId="0" xfId="0" applyAlignment="1" applyProtection="1">
      <alignment/>
      <protection/>
    </xf>
    <xf numFmtId="164" fontId="0" fillId="24" borderId="15" xfId="0" applyNumberFormat="1" applyFill="1" applyBorder="1" applyAlignment="1" applyProtection="1">
      <alignment horizontal="left" vertical="center" wrapText="1"/>
      <protection/>
    </xf>
    <xf numFmtId="164" fontId="29" fillId="24" borderId="16" xfId="0" applyNumberFormat="1" applyFont="1" applyFill="1" applyBorder="1" applyAlignment="1" applyProtection="1">
      <alignment vertical="center" wrapText="1"/>
      <protection/>
    </xf>
    <xf numFmtId="164" fontId="30" fillId="24" borderId="16" xfId="0" applyNumberFormat="1" applyFont="1" applyFill="1" applyBorder="1" applyAlignment="1" applyProtection="1">
      <alignment vertical="center"/>
      <protection/>
    </xf>
    <xf numFmtId="164" fontId="30" fillId="24" borderId="16" xfId="0" applyFont="1" applyFill="1" applyBorder="1" applyAlignment="1" applyProtection="1">
      <alignment vertical="center"/>
      <protection/>
    </xf>
    <xf numFmtId="164" fontId="30" fillId="24" borderId="17" xfId="0" applyFont="1" applyFill="1" applyBorder="1" applyAlignment="1" applyProtection="1">
      <alignment vertical="center"/>
      <protection/>
    </xf>
    <xf numFmtId="164" fontId="0" fillId="24" borderId="18" xfId="0" applyNumberFormat="1" applyFill="1" applyBorder="1" applyAlignment="1" applyProtection="1">
      <alignment horizontal="left" vertical="center" wrapText="1"/>
      <protection/>
    </xf>
    <xf numFmtId="164" fontId="29" fillId="24" borderId="0" xfId="0" applyNumberFormat="1" applyFont="1" applyFill="1" applyBorder="1" applyAlignment="1" applyProtection="1">
      <alignment vertical="center" wrapText="1"/>
      <protection/>
    </xf>
    <xf numFmtId="164" fontId="30" fillId="24" borderId="0" xfId="0" applyNumberFormat="1" applyFont="1" applyFill="1" applyBorder="1" applyAlignment="1" applyProtection="1">
      <alignment vertical="center"/>
      <protection/>
    </xf>
    <xf numFmtId="164" fontId="30" fillId="24" borderId="0" xfId="0" applyFont="1" applyFill="1" applyBorder="1" applyAlignment="1" applyProtection="1">
      <alignment vertical="center"/>
      <protection/>
    </xf>
    <xf numFmtId="164" fontId="30" fillId="24" borderId="19" xfId="0" applyFont="1" applyFill="1" applyBorder="1" applyAlignment="1" applyProtection="1">
      <alignment vertical="center"/>
      <protection/>
    </xf>
    <xf numFmtId="164" fontId="0" fillId="24" borderId="0" xfId="0" applyNumberFormat="1" applyFill="1" applyBorder="1" applyAlignment="1" applyProtection="1">
      <alignment vertical="center" wrapText="1"/>
      <protection/>
    </xf>
    <xf numFmtId="164" fontId="31" fillId="24" borderId="0" xfId="0" applyNumberFormat="1" applyFont="1" applyFill="1" applyBorder="1" applyAlignment="1" applyProtection="1">
      <alignment vertical="center" wrapText="1"/>
      <protection/>
    </xf>
    <xf numFmtId="164" fontId="31" fillId="24" borderId="0" xfId="0" applyFont="1" applyFill="1" applyBorder="1" applyAlignment="1" applyProtection="1">
      <alignment vertical="center" wrapText="1"/>
      <protection/>
    </xf>
    <xf numFmtId="164" fontId="31" fillId="24" borderId="19" xfId="0" applyFont="1" applyFill="1" applyBorder="1" applyAlignment="1" applyProtection="1">
      <alignment vertical="center" wrapText="1"/>
      <protection/>
    </xf>
    <xf numFmtId="164" fontId="0" fillId="24" borderId="20" xfId="0" applyNumberFormat="1" applyFill="1" applyBorder="1" applyAlignment="1" applyProtection="1">
      <alignment horizontal="left"/>
      <protection/>
    </xf>
    <xf numFmtId="164" fontId="29" fillId="24" borderId="21" xfId="0" applyNumberFormat="1" applyFont="1" applyFill="1" applyBorder="1" applyAlignment="1" applyProtection="1">
      <alignment horizontal="center"/>
      <protection/>
    </xf>
    <xf numFmtId="164" fontId="30" fillId="24" borderId="21" xfId="0" applyNumberFormat="1" applyFont="1" applyFill="1" applyBorder="1" applyAlignment="1" applyProtection="1">
      <alignment vertical="center"/>
      <protection/>
    </xf>
    <xf numFmtId="164" fontId="30" fillId="24" borderId="21" xfId="0" applyFont="1" applyFill="1" applyBorder="1" applyAlignment="1" applyProtection="1">
      <alignment vertical="center"/>
      <protection/>
    </xf>
    <xf numFmtId="164" fontId="30" fillId="24" borderId="22" xfId="0" applyFont="1" applyFill="1" applyBorder="1" applyAlignment="1" applyProtection="1">
      <alignment vertical="center"/>
      <protection/>
    </xf>
    <xf numFmtId="164" fontId="32" fillId="24" borderId="23" xfId="0" applyFont="1" applyFill="1" applyBorder="1" applyAlignment="1" applyProtection="1">
      <alignment horizontal="center" vertical="center" wrapText="1"/>
      <protection/>
    </xf>
    <xf numFmtId="164" fontId="0" fillId="0" borderId="18" xfId="0" applyNumberFormat="1" applyBorder="1" applyAlignment="1" applyProtection="1">
      <alignment horizontal="left"/>
      <protection/>
    </xf>
    <xf numFmtId="164" fontId="0" fillId="0" borderId="0" xfId="0" applyNumberFormat="1" applyBorder="1" applyAlignment="1" applyProtection="1">
      <alignment/>
      <protection/>
    </xf>
    <xf numFmtId="164" fontId="0" fillId="0" borderId="0" xfId="0" applyBorder="1" applyAlignment="1" applyProtection="1">
      <alignment/>
      <protection/>
    </xf>
    <xf numFmtId="164" fontId="0" fillId="0" borderId="19" xfId="0" applyBorder="1" applyAlignment="1" applyProtection="1">
      <alignment/>
      <protection/>
    </xf>
    <xf numFmtId="164" fontId="0" fillId="0" borderId="20" xfId="0" applyNumberFormat="1" applyBorder="1" applyAlignment="1" applyProtection="1">
      <alignment horizontal="left"/>
      <protection/>
    </xf>
    <xf numFmtId="164" fontId="33" fillId="8" borderId="24" xfId="0" applyNumberFormat="1" applyFont="1" applyFill="1" applyBorder="1" applyAlignment="1" applyProtection="1">
      <alignment horizontal="center"/>
      <protection/>
    </xf>
    <xf numFmtId="164" fontId="33" fillId="8" borderId="25" xfId="0" applyFont="1" applyFill="1" applyBorder="1" applyAlignment="1" applyProtection="1">
      <alignment horizontal="center"/>
      <protection/>
    </xf>
    <xf numFmtId="164" fontId="34" fillId="0" borderId="23" xfId="0" applyNumberFormat="1" applyFont="1" applyBorder="1" applyAlignment="1" applyProtection="1">
      <alignment horizontal="left" vertical="center" wrapText="1"/>
      <protection/>
    </xf>
    <xf numFmtId="166" fontId="34" fillId="0" borderId="26" xfId="0" applyNumberFormat="1" applyFont="1" applyBorder="1" applyAlignment="1" applyProtection="1">
      <alignment horizontal="center" vertical="center"/>
      <protection/>
    </xf>
    <xf numFmtId="173" fontId="34" fillId="0" borderId="23" xfId="0" applyNumberFormat="1" applyFont="1" applyBorder="1" applyAlignment="1" applyProtection="1">
      <alignment horizontal="center" vertical="center"/>
      <protection/>
    </xf>
    <xf numFmtId="166" fontId="34" fillId="0" borderId="23" xfId="0" applyNumberFormat="1" applyFont="1" applyBorder="1" applyAlignment="1" applyProtection="1">
      <alignment horizontal="center" vertical="center"/>
      <protection/>
    </xf>
    <xf numFmtId="164" fontId="33" fillId="0" borderId="24" xfId="0" applyNumberFormat="1" applyFont="1" applyBorder="1" applyAlignment="1" applyProtection="1">
      <alignment horizontal="right" vertical="center"/>
      <protection/>
    </xf>
    <xf numFmtId="166" fontId="33" fillId="0" borderId="24" xfId="0" applyNumberFormat="1" applyFont="1" applyBorder="1" applyAlignment="1" applyProtection="1">
      <alignment horizontal="center" vertical="center"/>
      <protection/>
    </xf>
    <xf numFmtId="173" fontId="33" fillId="0" borderId="24" xfId="0" applyNumberFormat="1" applyFont="1" applyBorder="1" applyAlignment="1" applyProtection="1">
      <alignment horizontal="center" vertical="center"/>
      <protection/>
    </xf>
    <xf numFmtId="164" fontId="32" fillId="8" borderId="24" xfId="0" applyNumberFormat="1" applyFont="1" applyFill="1" applyBorder="1" applyAlignment="1" applyProtection="1">
      <alignment horizontal="center"/>
      <protection/>
    </xf>
    <xf numFmtId="164" fontId="39" fillId="8" borderId="24" xfId="0" applyNumberFormat="1" applyFont="1" applyFill="1" applyBorder="1" applyAlignment="1" applyProtection="1">
      <alignment horizontal="center"/>
      <protection/>
    </xf>
    <xf numFmtId="164" fontId="39" fillId="0" borderId="27" xfId="0" applyNumberFormat="1" applyFont="1" applyBorder="1" applyAlignment="1" applyProtection="1">
      <alignment horizontal="center"/>
      <protection/>
    </xf>
    <xf numFmtId="164" fontId="39" fillId="0" borderId="0" xfId="0" applyNumberFormat="1" applyFont="1" applyBorder="1" applyAlignment="1" applyProtection="1">
      <alignment horizontal="center"/>
      <protection/>
    </xf>
    <xf numFmtId="164" fontId="39" fillId="0" borderId="28" xfId="0" applyNumberFormat="1" applyFont="1" applyBorder="1" applyAlignment="1" applyProtection="1">
      <alignment horizontal="center"/>
      <protection/>
    </xf>
    <xf numFmtId="164" fontId="39" fillId="0" borderId="29" xfId="0" applyNumberFormat="1" applyFont="1" applyBorder="1" applyAlignment="1" applyProtection="1">
      <alignment horizontal="right"/>
      <protection/>
    </xf>
    <xf numFmtId="173" fontId="40" fillId="0" borderId="30" xfId="0" applyNumberFormat="1" applyFont="1" applyBorder="1" applyAlignment="1" applyProtection="1">
      <alignment horizontal="center"/>
      <protection/>
    </xf>
    <xf numFmtId="164" fontId="40" fillId="0" borderId="31" xfId="0" applyNumberFormat="1" applyFont="1" applyBorder="1" applyAlignment="1" applyProtection="1">
      <alignment/>
      <protection/>
    </xf>
    <xf numFmtId="164" fontId="40" fillId="0" borderId="16" xfId="0" applyNumberFormat="1" applyFont="1" applyBorder="1" applyAlignment="1" applyProtection="1">
      <alignment/>
      <protection/>
    </xf>
    <xf numFmtId="164" fontId="40" fillId="0" borderId="32" xfId="0" applyFont="1" applyBorder="1" applyAlignment="1" applyProtection="1">
      <alignment/>
      <protection/>
    </xf>
    <xf numFmtId="164" fontId="39" fillId="0" borderId="31" xfId="0" applyNumberFormat="1" applyFont="1" applyBorder="1" applyAlignment="1" applyProtection="1">
      <alignment horizontal="right"/>
      <protection/>
    </xf>
    <xf numFmtId="164" fontId="40" fillId="0" borderId="33" xfId="0" applyFont="1" applyBorder="1" applyAlignment="1" applyProtection="1">
      <alignment/>
      <protection/>
    </xf>
    <xf numFmtId="164" fontId="40" fillId="0" borderId="34" xfId="0" applyNumberFormat="1" applyFont="1" applyBorder="1" applyAlignment="1" applyProtection="1">
      <alignment/>
      <protection/>
    </xf>
    <xf numFmtId="164" fontId="40" fillId="0" borderId="35" xfId="0" applyNumberFormat="1" applyFont="1" applyBorder="1" applyAlignment="1" applyProtection="1">
      <alignment/>
      <protection/>
    </xf>
    <xf numFmtId="164" fontId="40" fillId="0" borderId="36" xfId="0" applyFont="1" applyBorder="1" applyAlignment="1" applyProtection="1">
      <alignment/>
      <protection/>
    </xf>
    <xf numFmtId="164" fontId="39" fillId="2" borderId="24" xfId="0" applyNumberFormat="1" applyFont="1" applyFill="1" applyBorder="1" applyAlignment="1" applyProtection="1">
      <alignment horizontal="right"/>
      <protection/>
    </xf>
    <xf numFmtId="173" fontId="40" fillId="2" borderId="24" xfId="0" applyNumberFormat="1" applyFont="1" applyFill="1" applyBorder="1" applyAlignment="1" applyProtection="1">
      <alignment horizontal="center"/>
      <protection/>
    </xf>
    <xf numFmtId="164" fontId="39" fillId="0" borderId="37" xfId="0" applyNumberFormat="1" applyFont="1" applyBorder="1" applyAlignment="1" applyProtection="1">
      <alignment horizontal="right"/>
      <protection/>
    </xf>
    <xf numFmtId="164" fontId="39" fillId="0" borderId="38" xfId="0" applyNumberFormat="1" applyFont="1" applyBorder="1" applyAlignment="1" applyProtection="1">
      <alignment horizontal="center"/>
      <protection/>
    </xf>
    <xf numFmtId="164" fontId="39" fillId="0" borderId="39" xfId="0" applyNumberFormat="1" applyFont="1" applyBorder="1" applyAlignment="1" applyProtection="1">
      <alignment horizontal="center"/>
      <protection/>
    </xf>
    <xf numFmtId="164" fontId="40" fillId="0" borderId="27" xfId="0" applyNumberFormat="1" applyFont="1" applyBorder="1" applyAlignment="1" applyProtection="1">
      <alignment horizontal="right"/>
      <protection/>
    </xf>
    <xf numFmtId="173" fontId="40" fillId="0" borderId="16" xfId="0" applyNumberFormat="1" applyFont="1" applyBorder="1" applyAlignment="1" applyProtection="1">
      <alignment horizontal="center"/>
      <protection/>
    </xf>
    <xf numFmtId="173" fontId="40" fillId="0" borderId="33" xfId="0" applyNumberFormat="1" applyFont="1" applyBorder="1" applyAlignment="1" applyProtection="1">
      <alignment horizontal="center"/>
      <protection/>
    </xf>
    <xf numFmtId="173" fontId="40" fillId="0" borderId="30" xfId="0" applyNumberFormat="1" applyFont="1" applyFill="1" applyBorder="1" applyAlignment="1" applyProtection="1">
      <alignment horizontal="center"/>
      <protection/>
    </xf>
    <xf numFmtId="164" fontId="40" fillId="0" borderId="27" xfId="0" applyNumberFormat="1" applyFont="1" applyBorder="1" applyAlignment="1" applyProtection="1">
      <alignment/>
      <protection/>
    </xf>
    <xf numFmtId="173" fontId="40" fillId="0" borderId="40" xfId="0" applyNumberFormat="1" applyFont="1" applyBorder="1" applyAlignment="1" applyProtection="1">
      <alignment horizontal="center"/>
      <protection/>
    </xf>
    <xf numFmtId="164" fontId="40" fillId="0" borderId="41" xfId="0" applyNumberFormat="1" applyFont="1" applyBorder="1" applyAlignment="1" applyProtection="1">
      <alignment/>
      <protection/>
    </xf>
    <xf numFmtId="164" fontId="40" fillId="0" borderId="42" xfId="0" applyFont="1" applyBorder="1" applyAlignment="1" applyProtection="1">
      <alignment/>
      <protection/>
    </xf>
    <xf numFmtId="164" fontId="39" fillId="0" borderId="43" xfId="0" applyNumberFormat="1" applyFont="1" applyBorder="1" applyAlignment="1" applyProtection="1">
      <alignment horizontal="right"/>
      <protection/>
    </xf>
    <xf numFmtId="164" fontId="40" fillId="0" borderId="44" xfId="0" applyNumberFormat="1" applyFont="1" applyBorder="1" applyAlignment="1" applyProtection="1">
      <alignment/>
      <protection/>
    </xf>
    <xf numFmtId="164" fontId="40" fillId="0" borderId="0" xfId="0" applyNumberFormat="1" applyFont="1" applyBorder="1" applyAlignment="1" applyProtection="1">
      <alignment/>
      <protection/>
    </xf>
    <xf numFmtId="164" fontId="40" fillId="0" borderId="28" xfId="0" applyFont="1" applyBorder="1" applyAlignment="1" applyProtection="1">
      <alignment/>
      <protection/>
    </xf>
    <xf numFmtId="164" fontId="39" fillId="8" borderId="24" xfId="0" applyFont="1" applyFill="1" applyBorder="1" applyAlignment="1" applyProtection="1">
      <alignment horizontal="center"/>
      <protection/>
    </xf>
    <xf numFmtId="164" fontId="39" fillId="0" borderId="45" xfId="0" applyFont="1" applyBorder="1" applyAlignment="1" applyProtection="1">
      <alignment/>
      <protection/>
    </xf>
    <xf numFmtId="164" fontId="32" fillId="2" borderId="24" xfId="0" applyNumberFormat="1" applyFont="1" applyFill="1" applyBorder="1" applyAlignment="1" applyProtection="1">
      <alignment horizontal="right"/>
      <protection/>
    </xf>
    <xf numFmtId="173" fontId="39" fillId="2" borderId="24" xfId="0" applyNumberFormat="1" applyFont="1" applyFill="1" applyBorder="1" applyAlignment="1" applyProtection="1">
      <alignment horizontal="center"/>
      <protection/>
    </xf>
    <xf numFmtId="166" fontId="29" fillId="2" borderId="24" xfId="0" applyNumberFormat="1" applyFont="1" applyFill="1" applyBorder="1" applyAlignment="1" applyProtection="1">
      <alignment horizontal="center"/>
      <protection/>
    </xf>
    <xf numFmtId="164" fontId="0" fillId="0" borderId="45" xfId="0" applyBorder="1" applyAlignment="1" applyProtection="1">
      <alignment/>
      <protection/>
    </xf>
    <xf numFmtId="164" fontId="40" fillId="0" borderId="26" xfId="0" applyNumberFormat="1" applyFont="1" applyBorder="1" applyAlignment="1" applyProtection="1">
      <alignment horizontal="center"/>
      <protection/>
    </xf>
    <xf numFmtId="166" fontId="29" fillId="0" borderId="46" xfId="0" applyNumberFormat="1" applyFont="1" applyBorder="1" applyAlignment="1" applyProtection="1">
      <alignment/>
      <protection/>
    </xf>
    <xf numFmtId="164" fontId="0" fillId="0" borderId="47" xfId="0" applyBorder="1" applyAlignment="1" applyProtection="1">
      <alignment/>
      <protection/>
    </xf>
    <xf numFmtId="164" fontId="40" fillId="0" borderId="23" xfId="0" applyNumberFormat="1" applyFont="1" applyBorder="1" applyAlignment="1" applyProtection="1">
      <alignment horizontal="center"/>
      <protection/>
    </xf>
    <xf numFmtId="166" fontId="29" fillId="0" borderId="23" xfId="0" applyNumberFormat="1" applyFont="1" applyBorder="1" applyAlignment="1" applyProtection="1">
      <alignment/>
      <protection/>
    </xf>
    <xf numFmtId="164" fontId="39" fillId="2" borderId="24" xfId="0" applyNumberFormat="1" applyFont="1" applyFill="1" applyBorder="1" applyAlignment="1" applyProtection="1">
      <alignment horizontal="center"/>
      <protection/>
    </xf>
    <xf numFmtId="166" fontId="29" fillId="2" borderId="24" xfId="0" applyNumberFormat="1" applyFont="1" applyFill="1" applyBorder="1" applyAlignment="1" applyProtection="1">
      <alignment/>
      <protection/>
    </xf>
    <xf numFmtId="164" fontId="0" fillId="0" borderId="19" xfId="0" applyBorder="1" applyAlignment="1" applyProtection="1">
      <alignment/>
      <protection/>
    </xf>
    <xf numFmtId="164" fontId="32" fillId="0" borderId="47" xfId="0" applyNumberFormat="1" applyFont="1" applyBorder="1" applyAlignment="1" applyProtection="1">
      <alignment horizontal="center"/>
      <protection/>
    </xf>
    <xf numFmtId="164" fontId="0" fillId="0" borderId="47" xfId="0" applyNumberFormat="1" applyFont="1" applyBorder="1" applyAlignment="1" applyProtection="1">
      <alignment horizontal="justify" vertical="center" wrapText="1"/>
      <protection/>
    </xf>
    <xf numFmtId="164" fontId="0" fillId="0" borderId="47" xfId="0" applyNumberFormat="1" applyFont="1" applyBorder="1" applyAlignment="1" applyProtection="1">
      <alignment horizontal="left" vertical="center" wrapText="1"/>
      <protection/>
    </xf>
    <xf numFmtId="164" fontId="29" fillId="0" borderId="47" xfId="0" applyNumberFormat="1" applyFont="1" applyBorder="1" applyAlignment="1" applyProtection="1">
      <alignment horizontal="justify" vertical="center" wrapText="1"/>
      <protection/>
    </xf>
    <xf numFmtId="164" fontId="29" fillId="0" borderId="18" xfId="0" applyNumberFormat="1" applyFont="1" applyBorder="1" applyAlignment="1" applyProtection="1">
      <alignment vertical="center" wrapText="1"/>
      <protection/>
    </xf>
    <xf numFmtId="164" fontId="0" fillId="0" borderId="0" xfId="0" applyNumberFormat="1" applyFont="1" applyBorder="1" applyAlignment="1" applyProtection="1">
      <alignment vertical="center"/>
      <protection/>
    </xf>
    <xf numFmtId="173" fontId="39" fillId="0" borderId="23" xfId="254" applyNumberFormat="1" applyFont="1" applyFill="1" applyBorder="1" applyAlignment="1" applyProtection="1">
      <alignment horizontal="center" vertical="center"/>
      <protection/>
    </xf>
    <xf numFmtId="164" fontId="0" fillId="0" borderId="19" xfId="0" applyNumberFormat="1" applyFont="1" applyBorder="1" applyAlignment="1" applyProtection="1">
      <alignment vertical="center"/>
      <protection/>
    </xf>
    <xf numFmtId="164" fontId="0" fillId="0" borderId="21" xfId="0" applyNumberFormat="1" applyBorder="1" applyAlignment="1" applyProtection="1">
      <alignment/>
      <protection/>
    </xf>
    <xf numFmtId="164" fontId="0" fillId="0" borderId="21" xfId="0" applyBorder="1" applyAlignment="1" applyProtection="1">
      <alignment/>
      <protection/>
    </xf>
    <xf numFmtId="164" fontId="0" fillId="0" borderId="22" xfId="0" applyBorder="1" applyAlignment="1" applyProtection="1">
      <alignment/>
      <protection/>
    </xf>
    <xf numFmtId="164" fontId="41" fillId="0" borderId="0" xfId="0" applyFont="1" applyAlignment="1" applyProtection="1">
      <alignment/>
      <protection/>
    </xf>
    <xf numFmtId="164" fontId="42" fillId="0" borderId="0" xfId="0" applyFont="1" applyAlignment="1" applyProtection="1">
      <alignment horizontal="center" vertical="center" wrapText="1"/>
      <protection/>
    </xf>
    <xf numFmtId="164" fontId="42" fillId="0" borderId="0" xfId="0" applyNumberFormat="1" applyFont="1" applyAlignment="1" applyProtection="1">
      <alignment horizontal="center" vertical="center" wrapText="1"/>
      <protection/>
    </xf>
    <xf numFmtId="164" fontId="42" fillId="0" borderId="0" xfId="0" applyFont="1" applyAlignment="1">
      <alignment vertical="center" wrapText="1"/>
    </xf>
    <xf numFmtId="164" fontId="42" fillId="0" borderId="0" xfId="0" applyNumberFormat="1" applyFont="1" applyAlignment="1">
      <alignment vertical="center" wrapText="1"/>
    </xf>
    <xf numFmtId="164" fontId="39" fillId="24" borderId="48" xfId="0" applyFont="1" applyFill="1" applyBorder="1" applyAlignment="1" applyProtection="1">
      <alignment horizontal="center" vertical="center" wrapText="1"/>
      <protection/>
    </xf>
    <xf numFmtId="164" fontId="32" fillId="24" borderId="49" xfId="0" applyFont="1" applyFill="1" applyBorder="1" applyAlignment="1" applyProtection="1">
      <alignment horizontal="right" vertical="center" wrapText="1"/>
      <protection/>
    </xf>
    <xf numFmtId="173" fontId="32" fillId="24" borderId="23" xfId="0" applyNumberFormat="1" applyFont="1" applyFill="1" applyBorder="1" applyAlignment="1" applyProtection="1">
      <alignment horizontal="center" vertical="center" wrapText="1"/>
      <protection/>
    </xf>
    <xf numFmtId="164" fontId="29" fillId="0" borderId="50" xfId="0" applyFont="1" applyBorder="1" applyAlignment="1" applyProtection="1">
      <alignment horizontal="center" vertical="center"/>
      <protection/>
    </xf>
    <xf numFmtId="164" fontId="32" fillId="20" borderId="47" xfId="0" applyNumberFormat="1" applyFont="1" applyFill="1" applyBorder="1" applyAlignment="1" applyProtection="1">
      <alignment horizontal="center" vertical="center"/>
      <protection/>
    </xf>
    <xf numFmtId="164" fontId="32" fillId="20" borderId="47" xfId="0" applyFont="1" applyFill="1" applyBorder="1" applyAlignment="1" applyProtection="1">
      <alignment horizontal="center" vertical="center"/>
      <protection/>
    </xf>
    <xf numFmtId="164" fontId="32" fillId="20" borderId="47" xfId="0" applyFont="1" applyFill="1" applyBorder="1" applyAlignment="1" applyProtection="1">
      <alignment horizontal="center" vertical="center" wrapText="1"/>
      <protection/>
    </xf>
    <xf numFmtId="164" fontId="43" fillId="0" borderId="50" xfId="0" applyFont="1" applyFill="1" applyBorder="1" applyAlignment="1" applyProtection="1">
      <alignment horizontal="center" vertical="center" wrapText="1"/>
      <protection/>
    </xf>
    <xf numFmtId="164" fontId="43" fillId="0" borderId="50" xfId="0" applyNumberFormat="1" applyFont="1" applyFill="1" applyBorder="1" applyAlignment="1" applyProtection="1">
      <alignment horizontal="center" vertical="center" wrapText="1"/>
      <protection/>
    </xf>
    <xf numFmtId="164" fontId="29" fillId="8" borderId="23" xfId="0" applyNumberFormat="1" applyFont="1" applyFill="1" applyBorder="1" applyAlignment="1" applyProtection="1">
      <alignment horizontal="left" vertical="center"/>
      <protection/>
    </xf>
    <xf numFmtId="164" fontId="29" fillId="8" borderId="23" xfId="0" applyNumberFormat="1" applyFont="1" applyFill="1" applyBorder="1" applyAlignment="1" applyProtection="1">
      <alignment horizontal="center" vertical="center"/>
      <protection/>
    </xf>
    <xf numFmtId="174" fontId="29" fillId="8" borderId="23" xfId="0" applyNumberFormat="1" applyFont="1" applyFill="1" applyBorder="1" applyAlignment="1" applyProtection="1">
      <alignment horizontal="center" vertical="center"/>
      <protection/>
    </xf>
    <xf numFmtId="175" fontId="29" fillId="8" borderId="23" xfId="0" applyNumberFormat="1" applyFont="1" applyFill="1" applyBorder="1" applyAlignment="1" applyProtection="1">
      <alignment horizontal="center" vertical="center"/>
      <protection/>
    </xf>
    <xf numFmtId="164" fontId="41" fillId="0" borderId="18" xfId="0" applyFont="1" applyBorder="1" applyAlignment="1" applyProtection="1">
      <alignment/>
      <protection/>
    </xf>
    <xf numFmtId="164" fontId="42" fillId="0" borderId="50" xfId="0" applyFont="1" applyBorder="1" applyAlignment="1" applyProtection="1">
      <alignment horizontal="center" vertical="center" wrapText="1"/>
      <protection/>
    </xf>
    <xf numFmtId="164" fontId="42" fillId="0" borderId="50" xfId="0" applyNumberFormat="1" applyFont="1" applyBorder="1" applyAlignment="1" applyProtection="1">
      <alignment horizontal="center" vertical="center" wrapText="1"/>
      <protection/>
    </xf>
    <xf numFmtId="164" fontId="29" fillId="2" borderId="23" xfId="0" applyNumberFormat="1" applyFont="1" applyFill="1" applyBorder="1" applyAlignment="1" applyProtection="1">
      <alignment horizontal="left" vertical="center"/>
      <protection/>
    </xf>
    <xf numFmtId="164" fontId="29" fillId="2" borderId="23" xfId="0" applyNumberFormat="1" applyFont="1" applyFill="1" applyBorder="1" applyAlignment="1" applyProtection="1">
      <alignment horizontal="left" vertical="center" wrapText="1"/>
      <protection/>
    </xf>
    <xf numFmtId="164" fontId="29" fillId="2" borderId="23" xfId="0" applyNumberFormat="1" applyFont="1" applyFill="1" applyBorder="1" applyAlignment="1" applyProtection="1">
      <alignment horizontal="center" vertical="center"/>
      <protection/>
    </xf>
    <xf numFmtId="174" fontId="29" fillId="2" borderId="23" xfId="0" applyNumberFormat="1" applyFont="1" applyFill="1" applyBorder="1" applyAlignment="1" applyProtection="1">
      <alignment horizontal="center" vertical="center"/>
      <protection/>
    </xf>
    <xf numFmtId="175" fontId="29" fillId="2" borderId="23" xfId="0" applyNumberFormat="1" applyFont="1" applyFill="1" applyBorder="1" applyAlignment="1" applyProtection="1">
      <alignment horizontal="center" vertical="center"/>
      <protection/>
    </xf>
    <xf numFmtId="164" fontId="0" fillId="0" borderId="23" xfId="0" applyNumberFormat="1" applyFont="1" applyBorder="1" applyAlignment="1" applyProtection="1">
      <alignment horizontal="left" vertical="center"/>
      <protection/>
    </xf>
    <xf numFmtId="164" fontId="0" fillId="0" borderId="23" xfId="0" applyNumberFormat="1" applyFont="1" applyBorder="1" applyAlignment="1" applyProtection="1">
      <alignment horizontal="left" vertical="center" wrapText="1"/>
      <protection/>
    </xf>
    <xf numFmtId="164" fontId="0" fillId="0" borderId="23" xfId="0" applyNumberFormat="1" applyFont="1" applyBorder="1" applyAlignment="1" applyProtection="1">
      <alignment horizontal="center" vertical="center"/>
      <protection/>
    </xf>
    <xf numFmtId="173" fontId="0" fillId="0" borderId="23" xfId="0" applyNumberFormat="1" applyFont="1" applyBorder="1" applyAlignment="1" applyProtection="1">
      <alignment horizontal="center" vertical="center"/>
      <protection/>
    </xf>
    <xf numFmtId="175" fontId="0" fillId="0" borderId="23" xfId="0" applyNumberFormat="1" applyFont="1" applyFill="1" applyBorder="1" applyAlignment="1" applyProtection="1">
      <alignment horizontal="center" vertical="center"/>
      <protection/>
    </xf>
    <xf numFmtId="164" fontId="0" fillId="0" borderId="0" xfId="0" applyFont="1" applyAlignment="1" applyProtection="1">
      <alignment/>
      <protection/>
    </xf>
    <xf numFmtId="164" fontId="0" fillId="0" borderId="23" xfId="107" applyNumberFormat="1" applyFont="1" applyFill="1" applyBorder="1" applyAlignment="1" applyProtection="1">
      <alignment horizontal="left" vertical="center" wrapText="1"/>
      <protection/>
    </xf>
    <xf numFmtId="164" fontId="0" fillId="0" borderId="23" xfId="0" applyFont="1" applyBorder="1" applyAlignment="1">
      <alignment horizontal="center" vertical="center"/>
    </xf>
    <xf numFmtId="176" fontId="0" fillId="0" borderId="23" xfId="0" applyNumberFormat="1" applyFont="1" applyFill="1" applyBorder="1" applyAlignment="1" applyProtection="1">
      <alignment horizontal="center" vertical="center"/>
      <protection/>
    </xf>
    <xf numFmtId="164" fontId="0" fillId="0" borderId="23" xfId="0" applyNumberFormat="1" applyFont="1" applyFill="1" applyBorder="1" applyAlignment="1" applyProtection="1">
      <alignment horizontal="center" vertical="center"/>
      <protection/>
    </xf>
    <xf numFmtId="174" fontId="0" fillId="0" borderId="23" xfId="0" applyNumberFormat="1" applyFont="1" applyFill="1" applyBorder="1" applyAlignment="1" applyProtection="1">
      <alignment horizontal="center" vertical="center"/>
      <protection/>
    </xf>
    <xf numFmtId="164" fontId="0" fillId="0" borderId="23" xfId="0" applyNumberFormat="1" applyFont="1" applyFill="1" applyBorder="1" applyAlignment="1" applyProtection="1">
      <alignment horizontal="left" vertical="center" wrapText="1"/>
      <protection/>
    </xf>
    <xf numFmtId="164" fontId="0" fillId="0" borderId="23" xfId="133" applyNumberFormat="1" applyFont="1" applyBorder="1" applyAlignment="1" applyProtection="1">
      <alignment horizontal="left" vertical="center" wrapText="1"/>
      <protection/>
    </xf>
    <xf numFmtId="164" fontId="0" fillId="0" borderId="23" xfId="133" applyNumberFormat="1" applyFont="1" applyBorder="1" applyAlignment="1" applyProtection="1">
      <alignment horizontal="center" vertical="center"/>
      <protection/>
    </xf>
    <xf numFmtId="173" fontId="0" fillId="0" borderId="23" xfId="133" applyNumberFormat="1" applyFont="1" applyFill="1" applyBorder="1" applyAlignment="1" applyProtection="1">
      <alignment horizontal="center" vertical="center"/>
      <protection/>
    </xf>
    <xf numFmtId="164" fontId="0" fillId="0" borderId="23" xfId="0" applyFont="1" applyBorder="1" applyAlignment="1">
      <alignment horizontal="justify" vertical="center" wrapText="1"/>
    </xf>
    <xf numFmtId="164" fontId="0" fillId="0" borderId="48" xfId="0" applyNumberFormat="1" applyFont="1" applyFill="1" applyBorder="1" applyAlignment="1" applyProtection="1">
      <alignment horizontal="left" vertical="center"/>
      <protection/>
    </xf>
    <xf numFmtId="164" fontId="0" fillId="0" borderId="51" xfId="0" applyNumberFormat="1" applyFont="1" applyFill="1" applyBorder="1" applyAlignment="1" applyProtection="1">
      <alignment horizontal="left" vertical="center" wrapText="1"/>
      <protection/>
    </xf>
    <xf numFmtId="164" fontId="0" fillId="0" borderId="51" xfId="0" applyNumberFormat="1" applyFont="1" applyFill="1" applyBorder="1" applyAlignment="1" applyProtection="1">
      <alignment horizontal="center" vertical="center"/>
      <protection/>
    </xf>
    <xf numFmtId="174" fontId="0" fillId="0" borderId="51" xfId="0" applyNumberFormat="1" applyFont="1" applyFill="1" applyBorder="1" applyAlignment="1" applyProtection="1">
      <alignment horizontal="center" vertical="center"/>
      <protection/>
    </xf>
    <xf numFmtId="175" fontId="0" fillId="0" borderId="51" xfId="0" applyNumberFormat="1" applyFont="1" applyFill="1" applyBorder="1" applyAlignment="1" applyProtection="1">
      <alignment horizontal="center" vertical="center"/>
      <protection/>
    </xf>
    <xf numFmtId="164" fontId="41" fillId="0" borderId="0" xfId="0" applyFont="1" applyFill="1" applyAlignment="1" applyProtection="1">
      <alignment/>
      <protection/>
    </xf>
    <xf numFmtId="164" fontId="42" fillId="0" borderId="0" xfId="0" applyFont="1" applyFill="1" applyBorder="1" applyAlignment="1" applyProtection="1">
      <alignment horizontal="center" vertical="center" wrapText="1"/>
      <protection/>
    </xf>
    <xf numFmtId="164" fontId="42" fillId="0" borderId="0" xfId="0" applyNumberFormat="1" applyFont="1" applyFill="1" applyBorder="1" applyAlignment="1" applyProtection="1">
      <alignment horizontal="center" vertical="center" wrapText="1"/>
      <protection/>
    </xf>
    <xf numFmtId="164" fontId="0" fillId="0" borderId="0" xfId="0" applyFill="1" applyAlignment="1" applyProtection="1">
      <alignment/>
      <protection/>
    </xf>
    <xf numFmtId="164" fontId="0" fillId="8" borderId="48" xfId="0" applyNumberFormat="1" applyFill="1" applyBorder="1" applyAlignment="1" applyProtection="1">
      <alignment horizontal="left"/>
      <protection/>
    </xf>
    <xf numFmtId="164" fontId="0" fillId="8" borderId="51" xfId="0" applyNumberFormat="1" applyFill="1" applyBorder="1" applyAlignment="1" applyProtection="1">
      <alignment/>
      <protection/>
    </xf>
    <xf numFmtId="164" fontId="0" fillId="8" borderId="51" xfId="0" applyFill="1" applyBorder="1" applyAlignment="1" applyProtection="1">
      <alignment/>
      <protection/>
    </xf>
    <xf numFmtId="164" fontId="29" fillId="8" borderId="51" xfId="0" applyFont="1" applyFill="1" applyBorder="1" applyAlignment="1" applyProtection="1">
      <alignment horizontal="right"/>
      <protection/>
    </xf>
    <xf numFmtId="175" fontId="29" fillId="8" borderId="23" xfId="0" applyNumberFormat="1" applyFont="1" applyFill="1" applyBorder="1" applyAlignment="1" applyProtection="1">
      <alignment horizontal="center"/>
      <protection/>
    </xf>
    <xf numFmtId="175" fontId="41" fillId="0" borderId="0" xfId="0" applyNumberFormat="1" applyFont="1" applyAlignment="1" applyProtection="1">
      <alignment horizontal="center" vertical="center"/>
      <protection/>
    </xf>
    <xf numFmtId="164" fontId="29" fillId="8" borderId="23" xfId="0" applyNumberFormat="1" applyFont="1" applyFill="1" applyBorder="1" applyAlignment="1" applyProtection="1">
      <alignment horizontal="left" vertical="center" wrapText="1"/>
      <protection/>
    </xf>
    <xf numFmtId="164" fontId="29" fillId="0" borderId="23" xfId="0" applyNumberFormat="1" applyFont="1" applyBorder="1" applyAlignment="1" applyProtection="1">
      <alignment horizontal="left" vertical="center" wrapText="1"/>
      <protection/>
    </xf>
    <xf numFmtId="174" fontId="0" fillId="0" borderId="23" xfId="0" applyNumberFormat="1" applyFont="1" applyBorder="1" applyAlignment="1" applyProtection="1">
      <alignment horizontal="center" vertical="center"/>
      <protection/>
    </xf>
    <xf numFmtId="175" fontId="0" fillId="0" borderId="23" xfId="0" applyNumberFormat="1" applyFont="1" applyBorder="1" applyAlignment="1" applyProtection="1">
      <alignment horizontal="center" vertical="center"/>
      <protection/>
    </xf>
    <xf numFmtId="164" fontId="0" fillId="0" borderId="23" xfId="0" applyFont="1" applyBorder="1" applyAlignment="1">
      <alignment horizontal="left" vertical="center" wrapText="1"/>
    </xf>
    <xf numFmtId="164" fontId="0" fillId="0" borderId="23" xfId="0" applyNumberFormat="1" applyFont="1" applyFill="1" applyBorder="1" applyAlignment="1" applyProtection="1">
      <alignment horizontal="left" vertical="center"/>
      <protection/>
    </xf>
    <xf numFmtId="164" fontId="29" fillId="0" borderId="23" xfId="0" applyNumberFormat="1" applyFont="1" applyFill="1" applyBorder="1" applyAlignment="1" applyProtection="1">
      <alignment horizontal="left" vertical="center" wrapText="1"/>
      <protection/>
    </xf>
    <xf numFmtId="175" fontId="0" fillId="0" borderId="0" xfId="0" applyNumberFormat="1" applyAlignment="1" applyProtection="1">
      <alignment/>
      <protection/>
    </xf>
    <xf numFmtId="164" fontId="0" fillId="0" borderId="0" xfId="133" applyAlignment="1">
      <alignment horizontal="left"/>
      <protection/>
    </xf>
    <xf numFmtId="164" fontId="0" fillId="0" borderId="0" xfId="133">
      <alignment/>
      <protection/>
    </xf>
    <xf numFmtId="166" fontId="0" fillId="0" borderId="0" xfId="133" applyNumberFormat="1">
      <alignment/>
      <protection/>
    </xf>
    <xf numFmtId="166" fontId="0" fillId="0" borderId="0" xfId="133" applyNumberFormat="1" applyAlignment="1">
      <alignment horizontal="center"/>
      <protection/>
    </xf>
    <xf numFmtId="173" fontId="0" fillId="0" borderId="0" xfId="133" applyNumberFormat="1">
      <alignment/>
      <protection/>
    </xf>
    <xf numFmtId="164" fontId="0" fillId="0" borderId="15" xfId="133" applyBorder="1" applyAlignment="1">
      <alignment horizontal="left"/>
      <protection/>
    </xf>
    <xf numFmtId="164" fontId="0" fillId="0" borderId="17" xfId="133" applyBorder="1">
      <alignment/>
      <protection/>
    </xf>
    <xf numFmtId="166" fontId="0" fillId="0" borderId="15" xfId="133" applyNumberFormat="1" applyBorder="1">
      <alignment/>
      <protection/>
    </xf>
    <xf numFmtId="166" fontId="0" fillId="0" borderId="16" xfId="133" applyNumberFormat="1" applyBorder="1" applyAlignment="1">
      <alignment horizontal="center"/>
      <protection/>
    </xf>
    <xf numFmtId="173" fontId="0" fillId="0" borderId="16" xfId="133" applyNumberFormat="1" applyBorder="1">
      <alignment/>
      <protection/>
    </xf>
    <xf numFmtId="173" fontId="0" fillId="0" borderId="17" xfId="133" applyNumberFormat="1" applyBorder="1">
      <alignment/>
      <protection/>
    </xf>
    <xf numFmtId="164" fontId="0" fillId="0" borderId="18" xfId="133" applyBorder="1" applyAlignment="1">
      <alignment horizontal="left"/>
      <protection/>
    </xf>
    <xf numFmtId="164" fontId="0" fillId="0" borderId="19" xfId="133" applyBorder="1">
      <alignment/>
      <protection/>
    </xf>
    <xf numFmtId="166" fontId="0" fillId="0" borderId="18" xfId="133" applyNumberFormat="1" applyBorder="1">
      <alignment/>
      <protection/>
    </xf>
    <xf numFmtId="173" fontId="0" fillId="0" borderId="19" xfId="133" applyNumberFormat="1" applyBorder="1">
      <alignment/>
      <protection/>
    </xf>
    <xf numFmtId="164" fontId="0" fillId="0" borderId="20" xfId="133" applyBorder="1" applyAlignment="1">
      <alignment horizontal="left"/>
      <protection/>
    </xf>
    <xf numFmtId="164" fontId="0" fillId="0" borderId="22" xfId="133" applyBorder="1">
      <alignment/>
      <protection/>
    </xf>
    <xf numFmtId="166" fontId="0" fillId="0" borderId="20" xfId="133" applyNumberFormat="1" applyBorder="1">
      <alignment/>
      <protection/>
    </xf>
    <xf numFmtId="166" fontId="0" fillId="0" borderId="21" xfId="133" applyNumberFormat="1" applyBorder="1" applyAlignment="1">
      <alignment horizontal="center"/>
      <protection/>
    </xf>
    <xf numFmtId="173" fontId="0" fillId="0" borderId="21" xfId="133" applyNumberFormat="1" applyBorder="1">
      <alignment/>
      <protection/>
    </xf>
    <xf numFmtId="173" fontId="0" fillId="0" borderId="22" xfId="133" applyNumberFormat="1" applyBorder="1">
      <alignment/>
      <protection/>
    </xf>
    <xf numFmtId="164" fontId="46" fillId="0" borderId="23" xfId="133" applyFont="1" applyBorder="1" applyAlignment="1">
      <alignment horizontal="center" vertical="center" wrapText="1"/>
      <protection/>
    </xf>
    <xf numFmtId="164" fontId="32" fillId="8" borderId="23" xfId="133" applyFont="1" applyFill="1" applyBorder="1" applyAlignment="1">
      <alignment horizontal="center" vertical="center"/>
      <protection/>
    </xf>
    <xf numFmtId="164" fontId="32" fillId="8" borderId="23" xfId="133" applyFont="1" applyFill="1" applyBorder="1" applyAlignment="1">
      <alignment horizontal="center" vertical="center" wrapText="1"/>
      <protection/>
    </xf>
    <xf numFmtId="166" fontId="32" fillId="8" borderId="23" xfId="133" applyNumberFormat="1" applyFont="1" applyFill="1" applyBorder="1" applyAlignment="1">
      <alignment horizontal="center" vertical="center"/>
      <protection/>
    </xf>
    <xf numFmtId="173" fontId="32" fillId="8" borderId="23" xfId="133" applyNumberFormat="1" applyFont="1" applyFill="1" applyBorder="1" applyAlignment="1">
      <alignment horizontal="center" vertical="center"/>
      <protection/>
    </xf>
    <xf numFmtId="164" fontId="0" fillId="0" borderId="0" xfId="133" applyAlignment="1">
      <alignment horizontal="left" vertical="center"/>
      <protection/>
    </xf>
    <xf numFmtId="164" fontId="0" fillId="0" borderId="0" xfId="133" applyAlignment="1">
      <alignment vertical="center"/>
      <protection/>
    </xf>
    <xf numFmtId="166" fontId="0" fillId="0" borderId="0" xfId="133" applyNumberFormat="1" applyAlignment="1">
      <alignment horizontal="center" vertical="center"/>
      <protection/>
    </xf>
    <xf numFmtId="173" fontId="0" fillId="0" borderId="0" xfId="133" applyNumberFormat="1" applyAlignment="1">
      <alignment vertical="center"/>
      <protection/>
    </xf>
    <xf numFmtId="164" fontId="32" fillId="0" borderId="21" xfId="133" applyFont="1" applyBorder="1" applyAlignment="1">
      <alignment horizontal="left" vertical="center" wrapText="1"/>
      <protection/>
    </xf>
    <xf numFmtId="164" fontId="39" fillId="8" borderId="23" xfId="133" applyFont="1" applyFill="1" applyBorder="1" applyAlignment="1">
      <alignment horizontal="left" vertical="center"/>
      <protection/>
    </xf>
    <xf numFmtId="166" fontId="39" fillId="8" borderId="48" xfId="133" applyNumberFormat="1" applyFont="1" applyFill="1" applyBorder="1" applyAlignment="1">
      <alignment horizontal="center" vertical="center"/>
      <protection/>
    </xf>
    <xf numFmtId="173" fontId="39" fillId="8" borderId="23" xfId="133" applyNumberFormat="1" applyFont="1" applyFill="1" applyBorder="1" applyAlignment="1">
      <alignment vertical="center"/>
      <protection/>
    </xf>
    <xf numFmtId="164" fontId="47" fillId="0" borderId="0" xfId="133" applyFont="1" applyAlignment="1">
      <alignment vertical="center"/>
      <protection/>
    </xf>
    <xf numFmtId="164" fontId="39" fillId="0" borderId="0" xfId="133" applyFont="1" applyAlignment="1">
      <alignment vertical="center"/>
      <protection/>
    </xf>
    <xf numFmtId="164" fontId="29" fillId="2" borderId="23" xfId="133" applyFont="1" applyFill="1" applyBorder="1" applyAlignment="1">
      <alignment horizontal="left" vertical="center"/>
      <protection/>
    </xf>
    <xf numFmtId="164" fontId="29" fillId="2" borderId="23" xfId="133" applyFont="1" applyFill="1" applyBorder="1" applyAlignment="1">
      <alignment horizontal="left" vertical="center" wrapText="1"/>
      <protection/>
    </xf>
    <xf numFmtId="166" fontId="29" fillId="2" borderId="23" xfId="133" applyNumberFormat="1" applyFont="1" applyFill="1" applyBorder="1" applyAlignment="1">
      <alignment horizontal="center" vertical="center"/>
      <protection/>
    </xf>
    <xf numFmtId="166" fontId="0" fillId="0" borderId="52" xfId="133" applyNumberFormat="1" applyBorder="1" applyAlignment="1">
      <alignment horizontal="center" vertical="center"/>
      <protection/>
    </xf>
    <xf numFmtId="173" fontId="0" fillId="0" borderId="53" xfId="133" applyNumberFormat="1" applyBorder="1" applyAlignment="1">
      <alignment vertical="center"/>
      <protection/>
    </xf>
    <xf numFmtId="166" fontId="0" fillId="0" borderId="0" xfId="133" applyNumberFormat="1" applyAlignment="1">
      <alignment vertical="center"/>
      <protection/>
    </xf>
    <xf numFmtId="164" fontId="39" fillId="8" borderId="23" xfId="133" applyFont="1" applyFill="1" applyBorder="1" applyAlignment="1">
      <alignment horizontal="right" vertical="center"/>
      <protection/>
    </xf>
    <xf numFmtId="166" fontId="39" fillId="8" borderId="23" xfId="133" applyNumberFormat="1" applyFont="1" applyFill="1" applyBorder="1" applyAlignment="1">
      <alignment vertical="center"/>
      <protection/>
    </xf>
    <xf numFmtId="166" fontId="48" fillId="0" borderId="0" xfId="133" applyNumberFormat="1" applyFont="1">
      <alignment/>
      <protection/>
    </xf>
    <xf numFmtId="164" fontId="32" fillId="0" borderId="0" xfId="133" applyFont="1" applyAlignment="1">
      <alignment vertical="center"/>
      <protection/>
    </xf>
    <xf numFmtId="164" fontId="39" fillId="8" borderId="23" xfId="133" applyFont="1" applyFill="1" applyBorder="1" applyAlignment="1">
      <alignment horizontal="left" vertical="center" wrapText="1"/>
      <protection/>
    </xf>
    <xf numFmtId="166" fontId="0" fillId="0" borderId="54" xfId="133" applyNumberFormat="1" applyBorder="1" applyAlignment="1">
      <alignment horizontal="center" vertical="center"/>
      <protection/>
    </xf>
    <xf numFmtId="175" fontId="0" fillId="0" borderId="0" xfId="133" applyNumberFormat="1" applyAlignment="1">
      <alignment vertical="center"/>
      <protection/>
    </xf>
    <xf numFmtId="164" fontId="32" fillId="0" borderId="0" xfId="133" applyFont="1" applyAlignment="1">
      <alignment horizontal="left" vertical="center"/>
      <protection/>
    </xf>
    <xf numFmtId="164" fontId="32" fillId="20" borderId="23" xfId="133" applyFont="1" applyFill="1" applyBorder="1" applyAlignment="1">
      <alignment horizontal="right" vertical="center"/>
      <protection/>
    </xf>
    <xf numFmtId="166" fontId="32" fillId="20" borderId="23" xfId="133" applyNumberFormat="1" applyFont="1" applyFill="1" applyBorder="1" applyAlignment="1">
      <alignment vertical="center"/>
      <protection/>
    </xf>
    <xf numFmtId="173" fontId="32" fillId="20" borderId="23" xfId="133" applyNumberFormat="1" applyFont="1" applyFill="1" applyBorder="1" applyAlignment="1">
      <alignment vertical="center"/>
      <protection/>
    </xf>
    <xf numFmtId="164" fontId="0" fillId="0" borderId="0" xfId="0" applyFont="1" applyAlignment="1">
      <alignment/>
    </xf>
    <xf numFmtId="164" fontId="0" fillId="0" borderId="15" xfId="0" applyFont="1" applyBorder="1" applyAlignment="1">
      <alignment/>
    </xf>
    <xf numFmtId="164" fontId="0" fillId="0" borderId="16" xfId="0" applyFont="1" applyBorder="1" applyAlignment="1">
      <alignment/>
    </xf>
    <xf numFmtId="164" fontId="0" fillId="0" borderId="17" xfId="0" applyFont="1" applyBorder="1" applyAlignment="1">
      <alignment/>
    </xf>
    <xf numFmtId="164" fontId="0" fillId="0" borderId="18" xfId="0" applyFont="1" applyBorder="1" applyAlignment="1">
      <alignment/>
    </xf>
    <xf numFmtId="164" fontId="0" fillId="0" borderId="0" xfId="0" applyFont="1" applyBorder="1" applyAlignment="1">
      <alignment/>
    </xf>
    <xf numFmtId="164" fontId="0" fillId="0" borderId="19" xfId="0" applyFont="1" applyBorder="1" applyAlignment="1">
      <alignment/>
    </xf>
    <xf numFmtId="164" fontId="0" fillId="0" borderId="20" xfId="0" applyFont="1" applyBorder="1" applyAlignment="1">
      <alignment/>
    </xf>
    <xf numFmtId="164" fontId="0" fillId="0" borderId="21" xfId="0" applyFont="1" applyBorder="1" applyAlignment="1">
      <alignment/>
    </xf>
    <xf numFmtId="164" fontId="0" fillId="0" borderId="22" xfId="0" applyFont="1" applyBorder="1" applyAlignment="1">
      <alignment/>
    </xf>
    <xf numFmtId="164" fontId="32" fillId="0" borderId="23" xfId="133" applyFont="1" applyBorder="1" applyAlignment="1">
      <alignment horizontal="center"/>
      <protection/>
    </xf>
    <xf numFmtId="164" fontId="0" fillId="0" borderId="51" xfId="0" applyFont="1" applyBorder="1" applyAlignment="1">
      <alignment horizontal="center"/>
    </xf>
    <xf numFmtId="164" fontId="0" fillId="0" borderId="16" xfId="0" applyFont="1" applyBorder="1" applyAlignment="1">
      <alignment horizontal="center"/>
    </xf>
    <xf numFmtId="164" fontId="0" fillId="0" borderId="0" xfId="0" applyFont="1" applyFill="1" applyAlignment="1">
      <alignment/>
    </xf>
    <xf numFmtId="164" fontId="29" fillId="2" borderId="15" xfId="155" applyFont="1" applyFill="1" applyBorder="1" applyAlignment="1">
      <alignment vertical="center"/>
      <protection/>
    </xf>
    <xf numFmtId="177" fontId="29" fillId="0" borderId="16" xfId="155" applyNumberFormat="1" applyFont="1" applyFill="1" applyBorder="1" applyAlignment="1">
      <alignment horizontal="left" vertical="center"/>
      <protection/>
    </xf>
    <xf numFmtId="164" fontId="29" fillId="2" borderId="16" xfId="155" applyFont="1" applyFill="1" applyBorder="1" applyAlignment="1">
      <alignment horizontal="left" vertical="center" wrapText="1"/>
      <protection/>
    </xf>
    <xf numFmtId="164" fontId="29" fillId="2" borderId="23" xfId="155" applyFont="1" applyFill="1" applyBorder="1" applyAlignment="1">
      <alignment horizontal="center" vertical="center" wrapText="1"/>
      <protection/>
    </xf>
    <xf numFmtId="164" fontId="29" fillId="0" borderId="18" xfId="155" applyFont="1" applyFill="1" applyBorder="1" applyAlignment="1">
      <alignment horizontal="center"/>
      <protection/>
    </xf>
    <xf numFmtId="164" fontId="29" fillId="0" borderId="0" xfId="155" applyFont="1" applyFill="1" applyBorder="1" applyAlignment="1">
      <alignment horizontal="center"/>
      <protection/>
    </xf>
    <xf numFmtId="178" fontId="29" fillId="0" borderId="0" xfId="155" applyNumberFormat="1" applyFont="1" applyFill="1" applyBorder="1" applyAlignment="1">
      <alignment horizontal="center"/>
      <protection/>
    </xf>
    <xf numFmtId="170" fontId="29" fillId="0" borderId="0" xfId="299" applyFont="1" applyFill="1" applyBorder="1" applyAlignment="1" applyProtection="1">
      <alignment horizontal="center"/>
      <protection/>
    </xf>
    <xf numFmtId="170" fontId="29" fillId="0" borderId="19" xfId="299" applyFont="1" applyFill="1" applyBorder="1" applyAlignment="1" applyProtection="1">
      <alignment horizontal="center"/>
      <protection/>
    </xf>
    <xf numFmtId="164" fontId="0" fillId="0" borderId="18" xfId="155" applyFont="1" applyFill="1" applyBorder="1" applyAlignment="1">
      <alignment horizontal="center" vertical="center" wrapText="1"/>
      <protection/>
    </xf>
    <xf numFmtId="164" fontId="0" fillId="0" borderId="0" xfId="155" applyNumberFormat="1" applyFont="1" applyFill="1" applyBorder="1" applyAlignment="1">
      <alignment horizontal="center" vertical="center"/>
      <protection/>
    </xf>
    <xf numFmtId="164" fontId="0" fillId="0" borderId="0" xfId="299" applyNumberFormat="1" applyFont="1" applyFill="1" applyBorder="1" applyAlignment="1" applyProtection="1">
      <alignment horizontal="left" vertical="center" wrapText="1"/>
      <protection/>
    </xf>
    <xf numFmtId="164" fontId="0" fillId="0" borderId="0" xfId="299" applyNumberFormat="1" applyFont="1" applyFill="1" applyBorder="1" applyAlignment="1" applyProtection="1">
      <alignment horizontal="center" vertical="center"/>
      <protection/>
    </xf>
    <xf numFmtId="179" fontId="0" fillId="0" borderId="0" xfId="299" applyNumberFormat="1" applyFont="1" applyFill="1" applyBorder="1" applyAlignment="1" applyProtection="1">
      <alignment horizontal="center" vertical="center"/>
      <protection/>
    </xf>
    <xf numFmtId="166" fontId="0" fillId="0" borderId="0" xfId="155" applyNumberFormat="1" applyFont="1" applyFill="1" applyBorder="1" applyAlignment="1">
      <alignment horizontal="center" vertical="center"/>
      <protection/>
    </xf>
    <xf numFmtId="166" fontId="0" fillId="0" borderId="19" xfId="299" applyNumberFormat="1" applyFont="1" applyFill="1" applyBorder="1" applyAlignment="1" applyProtection="1">
      <alignment horizontal="center" vertical="center"/>
      <protection/>
    </xf>
    <xf numFmtId="164" fontId="0" fillId="0" borderId="18" xfId="155" applyFont="1" applyFill="1" applyBorder="1">
      <alignment/>
      <protection/>
    </xf>
    <xf numFmtId="164" fontId="0" fillId="0" borderId="0" xfId="155" applyFont="1" applyFill="1" applyBorder="1" applyAlignment="1">
      <alignment/>
      <protection/>
    </xf>
    <xf numFmtId="178" fontId="0" fillId="0" borderId="0" xfId="155" applyNumberFormat="1" applyFont="1" applyFill="1" applyBorder="1" applyAlignment="1">
      <alignment/>
      <protection/>
    </xf>
    <xf numFmtId="164" fontId="0" fillId="0" borderId="0" xfId="155" applyFont="1" applyFill="1" applyBorder="1" applyAlignment="1">
      <alignment horizontal="center"/>
      <protection/>
    </xf>
    <xf numFmtId="170" fontId="0" fillId="0" borderId="0" xfId="299" applyFont="1" applyFill="1" applyBorder="1" applyAlignment="1" applyProtection="1">
      <alignment horizontal="center"/>
      <protection/>
    </xf>
    <xf numFmtId="178" fontId="0" fillId="0" borderId="0" xfId="155" applyNumberFormat="1" applyFont="1" applyFill="1" applyBorder="1" applyAlignment="1">
      <alignment horizontal="center"/>
      <protection/>
    </xf>
    <xf numFmtId="176" fontId="0" fillId="0" borderId="19" xfId="299" applyNumberFormat="1" applyFont="1" applyFill="1" applyBorder="1" applyAlignment="1" applyProtection="1">
      <alignment horizontal="center"/>
      <protection/>
    </xf>
    <xf numFmtId="164" fontId="0" fillId="0" borderId="15" xfId="155" applyFont="1" applyFill="1" applyBorder="1">
      <alignment/>
      <protection/>
    </xf>
    <xf numFmtId="164" fontId="0" fillId="0" borderId="17" xfId="155" applyFont="1" applyFill="1" applyBorder="1" applyAlignment="1">
      <alignment/>
      <protection/>
    </xf>
    <xf numFmtId="173" fontId="0" fillId="0" borderId="0" xfId="254" applyNumberFormat="1" applyFont="1" applyFill="1" applyBorder="1" applyAlignment="1" applyProtection="1">
      <alignment/>
      <protection/>
    </xf>
    <xf numFmtId="170" fontId="0" fillId="0" borderId="0" xfId="299" applyFont="1" applyFill="1" applyBorder="1" applyAlignment="1" applyProtection="1">
      <alignment/>
      <protection/>
    </xf>
    <xf numFmtId="178" fontId="0" fillId="0" borderId="0" xfId="155" applyNumberFormat="1" applyFont="1" applyFill="1" applyBorder="1" applyAlignment="1">
      <alignment horizontal="right"/>
      <protection/>
    </xf>
    <xf numFmtId="170" fontId="0" fillId="0" borderId="19" xfId="299" applyFont="1" applyFill="1" applyBorder="1" applyAlignment="1" applyProtection="1">
      <alignment horizontal="right"/>
      <protection/>
    </xf>
    <xf numFmtId="164" fontId="29" fillId="0" borderId="20" xfId="155" applyFont="1" applyFill="1" applyBorder="1">
      <alignment/>
      <protection/>
    </xf>
    <xf numFmtId="164" fontId="29" fillId="0" borderId="22" xfId="155" applyFont="1" applyFill="1" applyBorder="1" applyAlignment="1">
      <alignment horizontal="left"/>
      <protection/>
    </xf>
    <xf numFmtId="178" fontId="29" fillId="0" borderId="23" xfId="155" applyNumberFormat="1" applyFont="1" applyFill="1" applyBorder="1" applyAlignment="1">
      <alignment horizontal="right"/>
      <protection/>
    </xf>
    <xf numFmtId="166" fontId="29" fillId="2" borderId="23" xfId="299" applyNumberFormat="1" applyFont="1" applyFill="1" applyBorder="1" applyAlignment="1" applyProtection="1">
      <alignment horizontal="center"/>
      <protection/>
    </xf>
    <xf numFmtId="166" fontId="0" fillId="0" borderId="0" xfId="0" applyNumberFormat="1" applyFont="1" applyAlignment="1">
      <alignment/>
    </xf>
    <xf numFmtId="164" fontId="50" fillId="0" borderId="0" xfId="155" applyFont="1" applyFill="1" applyBorder="1" applyAlignment="1">
      <alignment/>
      <protection/>
    </xf>
    <xf numFmtId="164" fontId="0" fillId="0" borderId="0" xfId="0" applyFont="1" applyAlignment="1">
      <alignment horizontal="left"/>
    </xf>
    <xf numFmtId="164" fontId="29" fillId="0" borderId="20" xfId="155" applyFont="1" applyFill="1" applyBorder="1" applyAlignment="1">
      <alignment horizontal="center"/>
      <protection/>
    </xf>
    <xf numFmtId="164" fontId="29" fillId="0" borderId="22" xfId="155" applyFont="1" applyFill="1" applyBorder="1" applyAlignment="1">
      <alignment horizontal="center"/>
      <protection/>
    </xf>
    <xf numFmtId="164" fontId="29" fillId="0" borderId="20" xfId="155" applyFont="1" applyFill="1" applyBorder="1" applyAlignment="1">
      <alignment horizontal="center" vertical="center"/>
      <protection/>
    </xf>
    <xf numFmtId="164" fontId="29" fillId="0" borderId="22" xfId="155" applyFont="1" applyFill="1" applyBorder="1" applyAlignment="1">
      <alignment horizontal="center" vertical="center" wrapText="1"/>
      <protection/>
    </xf>
    <xf numFmtId="178" fontId="29" fillId="0" borderId="23" xfId="155" applyNumberFormat="1" applyFont="1" applyFill="1" applyBorder="1" applyAlignment="1">
      <alignment horizontal="right" vertical="center"/>
      <protection/>
    </xf>
    <xf numFmtId="166" fontId="29" fillId="2" borderId="23" xfId="299" applyNumberFormat="1" applyFont="1" applyFill="1" applyBorder="1" applyAlignment="1" applyProtection="1">
      <alignment horizontal="center" vertical="center"/>
      <protection/>
    </xf>
    <xf numFmtId="164" fontId="29" fillId="0" borderId="22" xfId="155" applyFont="1" applyFill="1" applyBorder="1" applyAlignment="1">
      <alignment horizontal="center" vertical="center"/>
      <protection/>
    </xf>
    <xf numFmtId="164" fontId="0" fillId="0" borderId="0" xfId="155" applyNumberFormat="1" applyFont="1" applyFill="1" applyBorder="1" applyAlignment="1">
      <alignment horizontal="left" vertical="center" wrapText="1"/>
      <protection/>
    </xf>
    <xf numFmtId="164" fontId="0" fillId="0" borderId="0" xfId="155" applyNumberFormat="1" applyFont="1" applyFill="1" applyBorder="1" applyAlignment="1">
      <alignment horizontal="center" vertical="center" wrapText="1"/>
      <protection/>
    </xf>
    <xf numFmtId="164" fontId="29" fillId="0" borderId="20" xfId="155" applyFont="1" applyFill="1" applyBorder="1" applyAlignment="1">
      <alignment horizontal="center" vertical="center" wrapText="1"/>
      <protection/>
    </xf>
    <xf numFmtId="178" fontId="50" fillId="0" borderId="0" xfId="155" applyNumberFormat="1" applyFont="1" applyFill="1" applyBorder="1" applyAlignment="1">
      <alignment horizontal="left" vertical="center"/>
      <protection/>
    </xf>
    <xf numFmtId="178" fontId="0" fillId="0" borderId="0" xfId="299" applyNumberFormat="1" applyFont="1" applyFill="1" applyBorder="1" applyAlignment="1" applyProtection="1">
      <alignment horizontal="left" vertical="center" wrapText="1"/>
      <protection/>
    </xf>
    <xf numFmtId="164" fontId="0" fillId="0" borderId="0" xfId="299" applyNumberFormat="1" applyFont="1" applyFill="1" applyBorder="1" applyAlignment="1" applyProtection="1">
      <alignment horizontal="center" vertical="center" wrapText="1"/>
      <protection/>
    </xf>
    <xf numFmtId="167" fontId="0" fillId="0" borderId="0" xfId="0" applyNumberFormat="1" applyFont="1" applyAlignment="1">
      <alignment/>
    </xf>
    <xf numFmtId="164" fontId="0" fillId="0" borderId="0" xfId="0" applyFont="1" applyFill="1" applyAlignment="1">
      <alignment vertical="center"/>
    </xf>
    <xf numFmtId="164" fontId="29" fillId="0" borderId="22" xfId="155" applyFont="1" applyFill="1" applyBorder="1" applyAlignment="1">
      <alignment horizontal="left" vertical="center" wrapText="1"/>
      <protection/>
    </xf>
    <xf numFmtId="164" fontId="0" fillId="0" borderId="0" xfId="0" applyFont="1" applyAlignment="1">
      <alignment vertical="center"/>
    </xf>
    <xf numFmtId="164" fontId="29" fillId="0" borderId="22" xfId="155" applyFont="1" applyFill="1" applyBorder="1" applyAlignment="1">
      <alignment horizontal="center" wrapText="1"/>
      <protection/>
    </xf>
    <xf numFmtId="164" fontId="0" fillId="0" borderId="0" xfId="155" applyFont="1" applyFill="1" applyBorder="1" applyAlignment="1">
      <alignment horizontal="center" vertical="center" wrapText="1"/>
      <protection/>
    </xf>
    <xf numFmtId="164" fontId="29" fillId="0" borderId="20" xfId="155" applyFont="1" applyFill="1" applyBorder="1" applyAlignment="1">
      <alignment vertical="center" wrapText="1"/>
      <protection/>
    </xf>
    <xf numFmtId="164" fontId="0" fillId="0" borderId="0" xfId="155" applyAlignment="1">
      <alignment horizontal="center" vertical="center"/>
      <protection/>
    </xf>
    <xf numFmtId="164" fontId="0" fillId="0" borderId="0" xfId="0" applyFont="1" applyAlignment="1">
      <alignment horizontal="left" vertical="center"/>
    </xf>
    <xf numFmtId="178" fontId="0" fillId="0" borderId="0" xfId="155" applyNumberFormat="1" applyFont="1" applyFill="1" applyBorder="1" applyAlignment="1">
      <alignment horizontal="left" vertical="center"/>
      <protection/>
    </xf>
    <xf numFmtId="178" fontId="45" fillId="0" borderId="0" xfId="155" applyNumberFormat="1" applyFont="1" applyFill="1" applyBorder="1" applyAlignment="1">
      <alignment wrapText="1"/>
      <protection/>
    </xf>
  </cellXfs>
  <cellStyles count="30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Ênfase1 2" xfId="26"/>
    <cellStyle name="20% - Ênfase1 2 2" xfId="27"/>
    <cellStyle name="20% - Ênfase1 2 3" xfId="28"/>
    <cellStyle name="20% - Ênfase2 2" xfId="29"/>
    <cellStyle name="20% - Ênfase2 2 2" xfId="30"/>
    <cellStyle name="20% - Ênfase2 2 3" xfId="31"/>
    <cellStyle name="20% - Ênfase3 2" xfId="32"/>
    <cellStyle name="20% - Ênfase3 2 2" xfId="33"/>
    <cellStyle name="20% - Ênfase3 2 3" xfId="34"/>
    <cellStyle name="20% - Ênfase4 2" xfId="35"/>
    <cellStyle name="20% - Ênfase4 2 2" xfId="36"/>
    <cellStyle name="20% - Ênfase4 2 3" xfId="37"/>
    <cellStyle name="20% - Ênfase5 2" xfId="38"/>
    <cellStyle name="20% - Ênfase5 2 2" xfId="39"/>
    <cellStyle name="20% - Ênfase6 2" xfId="40"/>
    <cellStyle name="20% - Ênfase6 2 2" xfId="41"/>
    <cellStyle name="40% - Accent1" xfId="42"/>
    <cellStyle name="40% - Accent2" xfId="43"/>
    <cellStyle name="40% - Accent3" xfId="44"/>
    <cellStyle name="40% - Accent4" xfId="45"/>
    <cellStyle name="40% - Accent5" xfId="46"/>
    <cellStyle name="40% - Accent6" xfId="47"/>
    <cellStyle name="40% - Ênfase1 2" xfId="48"/>
    <cellStyle name="40% - Ênfase1 2 2" xfId="49"/>
    <cellStyle name="40% - Ênfase1 2 3" xfId="50"/>
    <cellStyle name="40% - Ênfase2 2" xfId="51"/>
    <cellStyle name="40% - Ênfase2 2 2" xfId="52"/>
    <cellStyle name="40% - Ênfase3 2" xfId="53"/>
    <cellStyle name="40% - Ênfase3 2 2" xfId="54"/>
    <cellStyle name="40% - Ênfase3 2 3" xfId="55"/>
    <cellStyle name="40% - Ênfase4 2" xfId="56"/>
    <cellStyle name="40% - Ênfase4 2 2" xfId="57"/>
    <cellStyle name="40% - Ênfase4 2 3" xfId="58"/>
    <cellStyle name="40% - Ênfase5 2" xfId="59"/>
    <cellStyle name="40% - Ênfase5 2 2" xfId="60"/>
    <cellStyle name="40% - Ênfase6 2" xfId="61"/>
    <cellStyle name="40% - Ênfase6 2 2" xfId="62"/>
    <cellStyle name="40% - Ênfase6 2 3" xfId="63"/>
    <cellStyle name="60% - Accent1" xfId="64"/>
    <cellStyle name="60% - Accent2" xfId="65"/>
    <cellStyle name="60% - Accent3" xfId="66"/>
    <cellStyle name="60% - Accent4" xfId="67"/>
    <cellStyle name="60% - Accent5" xfId="68"/>
    <cellStyle name="60% - Accent6" xfId="69"/>
    <cellStyle name="60% - Ênfase1 2" xfId="70"/>
    <cellStyle name="60% - Ênfase2 2" xfId="71"/>
    <cellStyle name="60% - Ênfase3 2" xfId="72"/>
    <cellStyle name="60% - Ênfase4 2" xfId="73"/>
    <cellStyle name="60% - Ênfase5 2" xfId="74"/>
    <cellStyle name="60% - Ênfase6 2" xfId="75"/>
    <cellStyle name="Accent1" xfId="76"/>
    <cellStyle name="Accent2" xfId="77"/>
    <cellStyle name="Accent3" xfId="78"/>
    <cellStyle name="Accent4" xfId="79"/>
    <cellStyle name="Accent5" xfId="80"/>
    <cellStyle name="Accent6" xfId="81"/>
    <cellStyle name="Bad 1" xfId="82"/>
    <cellStyle name="Bom 2" xfId="83"/>
    <cellStyle name="Calculation" xfId="84"/>
    <cellStyle name="Check Cell" xfId="85"/>
    <cellStyle name="Cálculo 2" xfId="86"/>
    <cellStyle name="Célula de Verificação 2" xfId="87"/>
    <cellStyle name="Célula Vinculada 2" xfId="88"/>
    <cellStyle name="Entrada 2" xfId="89"/>
    <cellStyle name="Estilo 1" xfId="90"/>
    <cellStyle name="Explanatory Text" xfId="91"/>
    <cellStyle name="Good 1" xfId="92"/>
    <cellStyle name="Heading 1 1" xfId="93"/>
    <cellStyle name="Heading 2 1" xfId="94"/>
    <cellStyle name="Heading 3" xfId="95"/>
    <cellStyle name="Heading 4" xfId="96"/>
    <cellStyle name="Hyperlink 2" xfId="97"/>
    <cellStyle name="Incorreto 2" xfId="98"/>
    <cellStyle name="Input" xfId="99"/>
    <cellStyle name="Linked Cell" xfId="100"/>
    <cellStyle name="Moeda 10" xfId="101"/>
    <cellStyle name="Moeda 10 2" xfId="102"/>
    <cellStyle name="Moeda 10 3" xfId="103"/>
    <cellStyle name="Moeda 11" xfId="104"/>
    <cellStyle name="Moeda 12" xfId="105"/>
    <cellStyle name="Moeda 12 2" xfId="106"/>
    <cellStyle name="Moeda 12 3" xfId="107"/>
    <cellStyle name="Moeda 13" xfId="108"/>
    <cellStyle name="Moeda 14" xfId="109"/>
    <cellStyle name="Moeda 2" xfId="110"/>
    <cellStyle name="Moeda 2 2" xfId="111"/>
    <cellStyle name="Moeda 3" xfId="112"/>
    <cellStyle name="Moeda 3 4 2" xfId="113"/>
    <cellStyle name="Moeda 4" xfId="114"/>
    <cellStyle name="Moeda 4 2" xfId="115"/>
    <cellStyle name="Moeda 5" xfId="116"/>
    <cellStyle name="Moeda 5 2" xfId="117"/>
    <cellStyle name="Moeda 6" xfId="118"/>
    <cellStyle name="Moeda 7" xfId="119"/>
    <cellStyle name="Moeda 8" xfId="120"/>
    <cellStyle name="Moeda 8 2" xfId="121"/>
    <cellStyle name="Moeda 9" xfId="122"/>
    <cellStyle name="Moeda 9 2" xfId="123"/>
    <cellStyle name="Neutra 2" xfId="124"/>
    <cellStyle name="Neutral 1" xfId="125"/>
    <cellStyle name="Normal 10" xfId="126"/>
    <cellStyle name="Normal 10 2" xfId="127"/>
    <cellStyle name="Normal 10 3" xfId="128"/>
    <cellStyle name="Normal 10 4" xfId="129"/>
    <cellStyle name="Normal 10 5" xfId="130"/>
    <cellStyle name="Normal 10 6" xfId="131"/>
    <cellStyle name="Normal 11" xfId="132"/>
    <cellStyle name="Normal 11 2" xfId="133"/>
    <cellStyle name="Normal 11 2 2" xfId="134"/>
    <cellStyle name="Normal 11 2 3" xfId="135"/>
    <cellStyle name="Normal 11 3" xfId="136"/>
    <cellStyle name="Normal 12" xfId="137"/>
    <cellStyle name="Normal 13" xfId="138"/>
    <cellStyle name="Normal 14" xfId="139"/>
    <cellStyle name="Normal 15" xfId="140"/>
    <cellStyle name="Normal 2" xfId="141"/>
    <cellStyle name="Normal 2 2" xfId="142"/>
    <cellStyle name="Normal 2 3" xfId="143"/>
    <cellStyle name="Normal 2 4" xfId="144"/>
    <cellStyle name="Normal 2 5" xfId="145"/>
    <cellStyle name="Normal 21" xfId="146"/>
    <cellStyle name="Normal 3" xfId="147"/>
    <cellStyle name="Normal 3 2" xfId="148"/>
    <cellStyle name="Normal 4" xfId="149"/>
    <cellStyle name="Normal 4 2" xfId="150"/>
    <cellStyle name="Normal 5" xfId="151"/>
    <cellStyle name="Normal 5 2" xfId="152"/>
    <cellStyle name="Normal 5 3" xfId="153"/>
    <cellStyle name="Normal 5 4" xfId="154"/>
    <cellStyle name="Normal 6" xfId="155"/>
    <cellStyle name="Normal 6 2" xfId="156"/>
    <cellStyle name="Normal 6 3" xfId="157"/>
    <cellStyle name="Normal 7" xfId="158"/>
    <cellStyle name="Normal 7 2" xfId="159"/>
    <cellStyle name="Normal 7 3" xfId="160"/>
    <cellStyle name="Normal 8" xfId="161"/>
    <cellStyle name="Normal 8 2" xfId="162"/>
    <cellStyle name="Normal 8 3" xfId="163"/>
    <cellStyle name="Normal 8 4" xfId="164"/>
    <cellStyle name="Normal 8 5" xfId="165"/>
    <cellStyle name="Normal 9" xfId="166"/>
    <cellStyle name="Normal 9 2" xfId="167"/>
    <cellStyle name="Normal 9 2 2" xfId="168"/>
    <cellStyle name="Normal 9 2 3" xfId="169"/>
    <cellStyle name="Normal 9 2 4" xfId="170"/>
    <cellStyle name="Normal 9 3" xfId="171"/>
    <cellStyle name="Normal 9 4" xfId="172"/>
    <cellStyle name="Normal 9 5" xfId="173"/>
    <cellStyle name="Nota 10" xfId="174"/>
    <cellStyle name="Nota 10 2" xfId="175"/>
    <cellStyle name="Nota 11" xfId="176"/>
    <cellStyle name="Nota 11 2" xfId="177"/>
    <cellStyle name="Nota 12" xfId="178"/>
    <cellStyle name="Nota 12 2" xfId="179"/>
    <cellStyle name="Nota 13" xfId="180"/>
    <cellStyle name="Nota 13 2" xfId="181"/>
    <cellStyle name="Nota 14" xfId="182"/>
    <cellStyle name="Nota 14 2" xfId="183"/>
    <cellStyle name="Nota 15" xfId="184"/>
    <cellStyle name="Nota 15 2" xfId="185"/>
    <cellStyle name="Nota 16" xfId="186"/>
    <cellStyle name="Nota 16 2" xfId="187"/>
    <cellStyle name="Nota 17" xfId="188"/>
    <cellStyle name="Nota 17 2" xfId="189"/>
    <cellStyle name="Nota 18" xfId="190"/>
    <cellStyle name="Nota 18 2" xfId="191"/>
    <cellStyle name="Nota 19" xfId="192"/>
    <cellStyle name="Nota 19 2" xfId="193"/>
    <cellStyle name="Nota 2" xfId="194"/>
    <cellStyle name="Nota 2 2" xfId="195"/>
    <cellStyle name="Nota 2 3" xfId="196"/>
    <cellStyle name="Nota 2 4" xfId="197"/>
    <cellStyle name="Nota 20" xfId="198"/>
    <cellStyle name="Nota 20 2" xfId="199"/>
    <cellStyle name="Nota 21" xfId="200"/>
    <cellStyle name="Nota 21 2" xfId="201"/>
    <cellStyle name="Nota 22" xfId="202"/>
    <cellStyle name="Nota 22 2" xfId="203"/>
    <cellStyle name="Nota 23" xfId="204"/>
    <cellStyle name="Nota 23 2" xfId="205"/>
    <cellStyle name="Nota 24" xfId="206"/>
    <cellStyle name="Nota 24 2" xfId="207"/>
    <cellStyle name="Nota 25" xfId="208"/>
    <cellStyle name="Nota 25 2" xfId="209"/>
    <cellStyle name="Nota 26" xfId="210"/>
    <cellStyle name="Nota 26 2" xfId="211"/>
    <cellStyle name="Nota 27" xfId="212"/>
    <cellStyle name="Nota 27 2" xfId="213"/>
    <cellStyle name="Nota 28" xfId="214"/>
    <cellStyle name="Nota 28 2" xfId="215"/>
    <cellStyle name="Nota 29" xfId="216"/>
    <cellStyle name="Nota 29 2" xfId="217"/>
    <cellStyle name="Nota 3" xfId="218"/>
    <cellStyle name="Nota 3 2" xfId="219"/>
    <cellStyle name="Nota 3 2 2" xfId="220"/>
    <cellStyle name="Nota 30" xfId="221"/>
    <cellStyle name="Nota 30 2" xfId="222"/>
    <cellStyle name="Nota 31" xfId="223"/>
    <cellStyle name="Nota 31 2" xfId="224"/>
    <cellStyle name="Nota 32" xfId="225"/>
    <cellStyle name="Nota 32 2" xfId="226"/>
    <cellStyle name="Nota 33" xfId="227"/>
    <cellStyle name="Nota 33 2" xfId="228"/>
    <cellStyle name="Nota 34" xfId="229"/>
    <cellStyle name="Nota 34 2" xfId="230"/>
    <cellStyle name="Nota 35" xfId="231"/>
    <cellStyle name="Nota 35 2" xfId="232"/>
    <cellStyle name="Nota 36" xfId="233"/>
    <cellStyle name="Nota 36 2" xfId="234"/>
    <cellStyle name="Nota 37" xfId="235"/>
    <cellStyle name="Nota 37 2" xfId="236"/>
    <cellStyle name="Nota 4" xfId="237"/>
    <cellStyle name="Nota 4 2" xfId="238"/>
    <cellStyle name="Nota 5" xfId="239"/>
    <cellStyle name="Nota 5 2" xfId="240"/>
    <cellStyle name="Nota 6" xfId="241"/>
    <cellStyle name="Nota 6 2" xfId="242"/>
    <cellStyle name="Nota 7" xfId="243"/>
    <cellStyle name="Nota 7 2" xfId="244"/>
    <cellStyle name="Nota 8" xfId="245"/>
    <cellStyle name="Nota 8 2" xfId="246"/>
    <cellStyle name="Nota 9" xfId="247"/>
    <cellStyle name="Nota 9 2" xfId="248"/>
    <cellStyle name="Note 1" xfId="249"/>
    <cellStyle name="Output" xfId="250"/>
    <cellStyle name="Porcentagem 2" xfId="251"/>
    <cellStyle name="Porcentagem 2 2" xfId="252"/>
    <cellStyle name="Porcentagem 2 2 2" xfId="253"/>
    <cellStyle name="Porcentagem 3" xfId="254"/>
    <cellStyle name="Porcentagem 3 2" xfId="255"/>
    <cellStyle name="Porcentagem 3 3" xfId="256"/>
    <cellStyle name="Porcentagem 4" xfId="257"/>
    <cellStyle name="Porcentagem 4 2" xfId="258"/>
    <cellStyle name="Porcentagem 4 3" xfId="259"/>
    <cellStyle name="Porcentagem 5" xfId="260"/>
    <cellStyle name="Saída 2" xfId="261"/>
    <cellStyle name="Separador de milhares 10" xfId="262"/>
    <cellStyle name="Separador de milhares 2" xfId="263"/>
    <cellStyle name="Separador de milhares 2 2" xfId="264"/>
    <cellStyle name="Separador de milhares 2 3" xfId="265"/>
    <cellStyle name="Separador de milhares 3" xfId="266"/>
    <cellStyle name="Separador de milhares 3 2" xfId="267"/>
    <cellStyle name="Separador de milhares 3 3 2 2" xfId="268"/>
    <cellStyle name="Separador de milhares 4" xfId="269"/>
    <cellStyle name="Separador de milhares 4 2" xfId="270"/>
    <cellStyle name="Separador de milhares 4 3" xfId="271"/>
    <cellStyle name="Separador de milhares 5" xfId="272"/>
    <cellStyle name="Separador de milhares 5 2" xfId="273"/>
    <cellStyle name="Separador de milhares 5 2 2" xfId="274"/>
    <cellStyle name="Separador de milhares 6" xfId="275"/>
    <cellStyle name="Separador de milhares 6 2" xfId="276"/>
    <cellStyle name="Separador de milhares 7" xfId="277"/>
    <cellStyle name="Separador de milhares 8" xfId="278"/>
    <cellStyle name="Separador de milhares 9" xfId="279"/>
    <cellStyle name="Separador de milhares 9 2" xfId="280"/>
    <cellStyle name="Separador de milhares 9 3" xfId="281"/>
    <cellStyle name="Separador de milhares 9 3 2" xfId="282"/>
    <cellStyle name="Separador de milhares 9 3 3" xfId="283"/>
    <cellStyle name="SGO" xfId="284"/>
    <cellStyle name="TableStyleLight1" xfId="285"/>
    <cellStyle name="Texto de Aviso 2" xfId="286"/>
    <cellStyle name="Texto Explicativo 2" xfId="287"/>
    <cellStyle name="Title" xfId="288"/>
    <cellStyle name="Total 2" xfId="289"/>
    <cellStyle name="Título 1 2" xfId="290"/>
    <cellStyle name="Título 2 2" xfId="291"/>
    <cellStyle name="Título 3 2" xfId="292"/>
    <cellStyle name="Título 4 2" xfId="293"/>
    <cellStyle name="Título 5" xfId="294"/>
    <cellStyle name="Vírgula 2" xfId="295"/>
    <cellStyle name="Vírgula 2 2" xfId="296"/>
    <cellStyle name="Vírgula 2 3" xfId="297"/>
    <cellStyle name="Vírgula 2 3 2" xfId="298"/>
    <cellStyle name="Vírgula 3" xfId="299"/>
    <cellStyle name="Vírgula 3 2" xfId="300"/>
    <cellStyle name="Vírgula 3 3" xfId="301"/>
    <cellStyle name="Vírgula 4" xfId="302"/>
    <cellStyle name="Vírgula 5" xfId="303"/>
    <cellStyle name="Vírgula 5 2" xfId="304"/>
    <cellStyle name="Vírgula 6" xfId="305"/>
    <cellStyle name="Vírgula 7" xfId="306"/>
    <cellStyle name="Vírgula 7 2" xfId="307"/>
    <cellStyle name="Vírgula 7 2 2" xfId="308"/>
    <cellStyle name="Vírgula 7 2 3" xfId="309"/>
    <cellStyle name="Vírgula 7 2 4" xfId="310"/>
    <cellStyle name="Vírgula 7 3" xfId="311"/>
    <cellStyle name="Vírgula 8" xfId="312"/>
    <cellStyle name="Vírgula 9" xfId="313"/>
    <cellStyle name="Warning Text" xfId="314"/>
    <cellStyle name="Ênfase1 2" xfId="315"/>
    <cellStyle name="Ênfase2 2" xfId="316"/>
    <cellStyle name="Ênfase3 2" xfId="317"/>
    <cellStyle name="Ênfase4 2" xfId="318"/>
    <cellStyle name="Ênfase5 2" xfId="319"/>
    <cellStyle name="Ênfase6 2" xfId="320"/>
  </cellStyles>
  <dxfs count="2">
    <dxf>
      <fill>
        <patternFill patternType="solid">
          <fgColor rgb="FF993300"/>
          <bgColor rgb="FFFF0000"/>
        </patternFill>
      </fill>
      <border/>
    </dxf>
    <dxf>
      <fill>
        <patternFill patternType="solid">
          <fgColor rgb="FFCCCCFF"/>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0</xdr:row>
      <xdr:rowOff>28575</xdr:rowOff>
    </xdr:from>
    <xdr:to>
      <xdr:col>5</xdr:col>
      <xdr:colOff>1352550</xdr:colOff>
      <xdr:row>6</xdr:row>
      <xdr:rowOff>161925</xdr:rowOff>
    </xdr:to>
    <xdr:sp fLocksText="0">
      <xdr:nvSpPr>
        <xdr:cNvPr id="1" name="CaixaDeTexto 4"/>
        <xdr:cNvSpPr txBox="1">
          <a:spLocks noChangeArrowheads="1"/>
        </xdr:cNvSpPr>
      </xdr:nvSpPr>
      <xdr:spPr>
        <a:xfrm>
          <a:off x="1800225" y="28575"/>
          <a:ext cx="7400925" cy="1104900"/>
        </a:xfrm>
        <a:prstGeom prst="rect">
          <a:avLst/>
        </a:prstGeom>
        <a:solidFill>
          <a:srgbClr val="FFFFFF"/>
        </a:solidFill>
        <a:ln w="9525" cmpd="sng">
          <a:noFill/>
        </a:ln>
      </xdr:spPr>
      <xdr:txBody>
        <a:bodyPr vertOverflow="clip" wrap="square" lIns="20160" tIns="20160" rIns="20160" bIns="20160"/>
        <a:p>
          <a:pPr algn="ctr">
            <a:defRPr/>
          </a:pPr>
          <a:r>
            <a:rPr lang="en-US" cap="none" sz="1600" b="1" i="0" u="none" baseline="0">
              <a:solidFill>
                <a:srgbClr val="000000"/>
              </a:solidFill>
              <a:latin typeface="Arial"/>
              <a:ea typeface="Arial"/>
              <a:cs typeface="Arial"/>
            </a:rPr>
            <a:t>CENTRO FEDERAL DE EDUCAÇÃO TECNOLÓGICA DE MINAS GERAIS
</a:t>
          </a:r>
          <a:r>
            <a:rPr lang="en-US" cap="none" sz="1200" b="0" i="0" u="none" baseline="0">
              <a:solidFill>
                <a:srgbClr val="000000"/>
              </a:solidFill>
              <a:latin typeface="Arial"/>
              <a:ea typeface="Arial"/>
              <a:cs typeface="Arial"/>
            </a:rPr>
            <a:t>COORDENAÇÃO DE INFRAESTRUTURA
</a:t>
          </a:r>
          <a:r>
            <a:rPr lang="en-US" cap="none" sz="1100" b="0" i="0" u="none" baseline="0">
              <a:solidFill>
                <a:srgbClr val="000000"/>
              </a:solidFill>
              <a:latin typeface="Arial"/>
              <a:ea typeface="Arial"/>
              <a:cs typeface="Arial"/>
            </a:rPr>
            <a:t>
</a:t>
          </a:r>
          <a:r>
            <a:rPr lang="en-US" cap="none" sz="1400" b="0" i="1" u="none" baseline="0">
              <a:solidFill>
                <a:srgbClr val="000000"/>
              </a:solidFill>
              <a:latin typeface="Arial"/>
              <a:ea typeface="Arial"/>
              <a:cs typeface="Arial"/>
            </a:rPr>
            <a:t>Reforma do estacionamento, paisagismo, sistema de irrigação, adequação do SPCI e demais intervenções complementares - Campus de Timóteo do CEFET-MG</a:t>
          </a:r>
        </a:p>
      </xdr:txBody>
    </xdr:sp>
    <xdr:clientData/>
  </xdr:twoCellAnchor>
  <xdr:twoCellAnchor>
    <xdr:from>
      <xdr:col>0</xdr:col>
      <xdr:colOff>85725</xdr:colOff>
      <xdr:row>0</xdr:row>
      <xdr:rowOff>66675</xdr:rowOff>
    </xdr:from>
    <xdr:to>
      <xdr:col>1</xdr:col>
      <xdr:colOff>876300</xdr:colOff>
      <xdr:row>6</xdr:row>
      <xdr:rowOff>95250</xdr:rowOff>
    </xdr:to>
    <xdr:pic>
      <xdr:nvPicPr>
        <xdr:cNvPr id="2" name="Picture 765"/>
        <xdr:cNvPicPr preferRelativeResize="1">
          <a:picLocks noChangeAspect="1"/>
        </xdr:cNvPicPr>
      </xdr:nvPicPr>
      <xdr:blipFill>
        <a:blip r:embed="rId1"/>
        <a:stretch>
          <a:fillRect/>
        </a:stretch>
      </xdr:blipFill>
      <xdr:spPr>
        <a:xfrm>
          <a:off x="85725" y="66675"/>
          <a:ext cx="1571625" cy="10001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0</xdr:row>
      <xdr:rowOff>28575</xdr:rowOff>
    </xdr:from>
    <xdr:to>
      <xdr:col>5</xdr:col>
      <xdr:colOff>1352550</xdr:colOff>
      <xdr:row>6</xdr:row>
      <xdr:rowOff>161925</xdr:rowOff>
    </xdr:to>
    <xdr:sp fLocksText="0">
      <xdr:nvSpPr>
        <xdr:cNvPr id="1" name="CaixaDeTexto 5"/>
        <xdr:cNvSpPr txBox="1">
          <a:spLocks noChangeArrowheads="1"/>
        </xdr:cNvSpPr>
      </xdr:nvSpPr>
      <xdr:spPr>
        <a:xfrm>
          <a:off x="1800225" y="28575"/>
          <a:ext cx="7400925" cy="1104900"/>
        </a:xfrm>
        <a:prstGeom prst="rect">
          <a:avLst/>
        </a:prstGeom>
        <a:solidFill>
          <a:srgbClr val="FFFFFF"/>
        </a:solidFill>
        <a:ln w="9525" cmpd="sng">
          <a:noFill/>
        </a:ln>
      </xdr:spPr>
      <xdr:txBody>
        <a:bodyPr vertOverflow="clip" wrap="square" lIns="20160" tIns="20160" rIns="20160" bIns="20160"/>
        <a:p>
          <a:pPr algn="ctr">
            <a:defRPr/>
          </a:pPr>
          <a:r>
            <a:rPr lang="en-US" cap="none" sz="1600" b="1" i="0" u="none" baseline="0">
              <a:solidFill>
                <a:srgbClr val="000000"/>
              </a:solidFill>
              <a:latin typeface="Arial"/>
              <a:ea typeface="Arial"/>
              <a:cs typeface="Arial"/>
            </a:rPr>
            <a:t>CENTRO FEDERAL DE EDUCAÇÃO TECNOLÓGICA DE MINAS GERAIS
</a:t>
          </a:r>
          <a:r>
            <a:rPr lang="en-US" cap="none" sz="1200" b="0" i="0" u="none" baseline="0">
              <a:solidFill>
                <a:srgbClr val="000000"/>
              </a:solidFill>
              <a:latin typeface="Arial"/>
              <a:ea typeface="Arial"/>
              <a:cs typeface="Arial"/>
            </a:rPr>
            <a:t>COORDENAÇÃO DE INFRAESTRUTURA
</a:t>
          </a:r>
          <a:r>
            <a:rPr lang="en-US" cap="none" sz="1100" b="0" i="0" u="none" baseline="0">
              <a:solidFill>
                <a:srgbClr val="000000"/>
              </a:solidFill>
              <a:latin typeface="Arial"/>
              <a:ea typeface="Arial"/>
              <a:cs typeface="Arial"/>
            </a:rPr>
            <a:t>
</a:t>
          </a:r>
          <a:r>
            <a:rPr lang="en-US" cap="none" sz="1400" b="0" i="1" u="none" baseline="0">
              <a:solidFill>
                <a:srgbClr val="000000"/>
              </a:solidFill>
              <a:latin typeface="Arial"/>
              <a:ea typeface="Arial"/>
              <a:cs typeface="Arial"/>
            </a:rPr>
            <a:t>Reforma do estacionamento, paisagismo, sistema de irrigação, adequação do SPCI e demais intervenções complementares - Campus de Timóteo do CEFET-MG
</a:t>
          </a:r>
        </a:p>
      </xdr:txBody>
    </xdr:sp>
    <xdr:clientData/>
  </xdr:twoCellAnchor>
  <xdr:twoCellAnchor>
    <xdr:from>
      <xdr:col>0</xdr:col>
      <xdr:colOff>85725</xdr:colOff>
      <xdr:row>0</xdr:row>
      <xdr:rowOff>66675</xdr:rowOff>
    </xdr:from>
    <xdr:to>
      <xdr:col>1</xdr:col>
      <xdr:colOff>876300</xdr:colOff>
      <xdr:row>6</xdr:row>
      <xdr:rowOff>95250</xdr:rowOff>
    </xdr:to>
    <xdr:pic>
      <xdr:nvPicPr>
        <xdr:cNvPr id="2" name="Picture 765"/>
        <xdr:cNvPicPr preferRelativeResize="1">
          <a:picLocks noChangeAspect="1"/>
        </xdr:cNvPicPr>
      </xdr:nvPicPr>
      <xdr:blipFill>
        <a:blip r:embed="rId1"/>
        <a:stretch>
          <a:fillRect/>
        </a:stretch>
      </xdr:blipFill>
      <xdr:spPr>
        <a:xfrm>
          <a:off x="85725" y="66675"/>
          <a:ext cx="1571625" cy="10001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0</xdr:row>
      <xdr:rowOff>28575</xdr:rowOff>
    </xdr:from>
    <xdr:to>
      <xdr:col>5</xdr:col>
      <xdr:colOff>1352550</xdr:colOff>
      <xdr:row>6</xdr:row>
      <xdr:rowOff>161925</xdr:rowOff>
    </xdr:to>
    <xdr:sp fLocksText="0">
      <xdr:nvSpPr>
        <xdr:cNvPr id="1" name="CaixaDeTexto 1"/>
        <xdr:cNvSpPr txBox="1">
          <a:spLocks noChangeArrowheads="1"/>
        </xdr:cNvSpPr>
      </xdr:nvSpPr>
      <xdr:spPr>
        <a:xfrm>
          <a:off x="1800225" y="28575"/>
          <a:ext cx="7400925" cy="1104900"/>
        </a:xfrm>
        <a:prstGeom prst="rect">
          <a:avLst/>
        </a:prstGeom>
        <a:solidFill>
          <a:srgbClr val="FFFFFF"/>
        </a:solidFill>
        <a:ln w="9525" cmpd="sng">
          <a:noFill/>
        </a:ln>
      </xdr:spPr>
      <xdr:txBody>
        <a:bodyPr vertOverflow="clip" wrap="square" lIns="20160" tIns="20160" rIns="20160" bIns="20160"/>
        <a:p>
          <a:pPr algn="ctr">
            <a:defRPr/>
          </a:pPr>
          <a:r>
            <a:rPr lang="en-US" cap="none" sz="1600" b="1" i="0" u="none" baseline="0">
              <a:solidFill>
                <a:srgbClr val="000000"/>
              </a:solidFill>
              <a:latin typeface="Arial"/>
              <a:ea typeface="Arial"/>
              <a:cs typeface="Arial"/>
            </a:rPr>
            <a:t>CENTRO FEDERAL DE EDUCAÇÃO TECNOLÓGICA DE MINAS GERAIS
</a:t>
          </a:r>
          <a:r>
            <a:rPr lang="en-US" cap="none" sz="1200" b="0" i="0" u="none" baseline="0">
              <a:solidFill>
                <a:srgbClr val="000000"/>
              </a:solidFill>
              <a:latin typeface="Arial"/>
              <a:ea typeface="Arial"/>
              <a:cs typeface="Arial"/>
            </a:rPr>
            <a:t>COORDENAÇÃO DE INFRAESTRUTURA
</a:t>
          </a:r>
          <a:r>
            <a:rPr lang="en-US" cap="none" sz="1100" b="0" i="0" u="none" baseline="0">
              <a:solidFill>
                <a:srgbClr val="000000"/>
              </a:solidFill>
              <a:latin typeface="Arial"/>
              <a:ea typeface="Arial"/>
              <a:cs typeface="Arial"/>
            </a:rPr>
            <a:t>
</a:t>
          </a:r>
          <a:r>
            <a:rPr lang="en-US" cap="none" sz="1400" b="0" i="1" u="none" baseline="0">
              <a:solidFill>
                <a:srgbClr val="000000"/>
              </a:solidFill>
              <a:latin typeface="Arial"/>
              <a:ea typeface="Arial"/>
              <a:cs typeface="Arial"/>
            </a:rPr>
            <a:t>Reforma do estacionamento, paisagismo, sistema de irrigação, adequação do SPCI e demais intervenções complementares - Campus de Timóteo do CEFET-MG
</a:t>
          </a:r>
        </a:p>
      </xdr:txBody>
    </xdr:sp>
    <xdr:clientData/>
  </xdr:twoCellAnchor>
  <xdr:twoCellAnchor>
    <xdr:from>
      <xdr:col>0</xdr:col>
      <xdr:colOff>85725</xdr:colOff>
      <xdr:row>0</xdr:row>
      <xdr:rowOff>66675</xdr:rowOff>
    </xdr:from>
    <xdr:to>
      <xdr:col>1</xdr:col>
      <xdr:colOff>876300</xdr:colOff>
      <xdr:row>6</xdr:row>
      <xdr:rowOff>95250</xdr:rowOff>
    </xdr:to>
    <xdr:pic>
      <xdr:nvPicPr>
        <xdr:cNvPr id="2" name="Picture 765"/>
        <xdr:cNvPicPr preferRelativeResize="1">
          <a:picLocks noChangeAspect="1"/>
        </xdr:cNvPicPr>
      </xdr:nvPicPr>
      <xdr:blipFill>
        <a:blip r:embed="rId1"/>
        <a:stretch>
          <a:fillRect/>
        </a:stretch>
      </xdr:blipFill>
      <xdr:spPr>
        <a:xfrm>
          <a:off x="85725" y="66675"/>
          <a:ext cx="1571625" cy="10001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0</xdr:row>
      <xdr:rowOff>28575</xdr:rowOff>
    </xdr:from>
    <xdr:to>
      <xdr:col>5</xdr:col>
      <xdr:colOff>1352550</xdr:colOff>
      <xdr:row>6</xdr:row>
      <xdr:rowOff>161925</xdr:rowOff>
    </xdr:to>
    <xdr:sp fLocksText="0">
      <xdr:nvSpPr>
        <xdr:cNvPr id="1" name="CaixaDeTexto 1"/>
        <xdr:cNvSpPr txBox="1">
          <a:spLocks noChangeArrowheads="1"/>
        </xdr:cNvSpPr>
      </xdr:nvSpPr>
      <xdr:spPr>
        <a:xfrm>
          <a:off x="1800225" y="28575"/>
          <a:ext cx="7400925" cy="1104900"/>
        </a:xfrm>
        <a:prstGeom prst="rect">
          <a:avLst/>
        </a:prstGeom>
        <a:solidFill>
          <a:srgbClr val="FFFFFF"/>
        </a:solidFill>
        <a:ln w="9525" cmpd="sng">
          <a:noFill/>
        </a:ln>
      </xdr:spPr>
      <xdr:txBody>
        <a:bodyPr vertOverflow="clip" wrap="square" lIns="20160" tIns="20160" rIns="20160" bIns="20160"/>
        <a:p>
          <a:pPr algn="ctr">
            <a:defRPr/>
          </a:pPr>
          <a:r>
            <a:rPr lang="en-US" cap="none" sz="1600" b="1" i="0" u="none" baseline="0">
              <a:solidFill>
                <a:srgbClr val="000000"/>
              </a:solidFill>
              <a:latin typeface="Arial"/>
              <a:ea typeface="Arial"/>
              <a:cs typeface="Arial"/>
            </a:rPr>
            <a:t>CENTRO FEDERAL DE EDUCAÇÃO TECNOLÓGICA DE MINAS GERAIS
</a:t>
          </a:r>
          <a:r>
            <a:rPr lang="en-US" cap="none" sz="1200" b="0" i="0" u="none" baseline="0">
              <a:solidFill>
                <a:srgbClr val="000000"/>
              </a:solidFill>
              <a:latin typeface="Arial"/>
              <a:ea typeface="Arial"/>
              <a:cs typeface="Arial"/>
            </a:rPr>
            <a:t>COORDENAÇÃO DE INFRAESTRUTURA
</a:t>
          </a:r>
          <a:r>
            <a:rPr lang="en-US" cap="none" sz="1100" b="0" i="0" u="none" baseline="0">
              <a:solidFill>
                <a:srgbClr val="000000"/>
              </a:solidFill>
              <a:latin typeface="Arial"/>
              <a:ea typeface="Arial"/>
              <a:cs typeface="Arial"/>
            </a:rPr>
            <a:t>
</a:t>
          </a:r>
          <a:r>
            <a:rPr lang="en-US" cap="none" sz="1400" b="0" i="1" u="none" baseline="0">
              <a:solidFill>
                <a:srgbClr val="000000"/>
              </a:solidFill>
              <a:latin typeface="Arial"/>
              <a:ea typeface="Arial"/>
              <a:cs typeface="Arial"/>
            </a:rPr>
            <a:t>Reforma do estacionamento, paisagismo, sistema de irrigação, adequação do SPCI e demais intervenções complementares - Campus de Timóteo do CEFET-MG
</a:t>
          </a:r>
        </a:p>
      </xdr:txBody>
    </xdr:sp>
    <xdr:clientData/>
  </xdr:twoCellAnchor>
  <xdr:twoCellAnchor>
    <xdr:from>
      <xdr:col>0</xdr:col>
      <xdr:colOff>85725</xdr:colOff>
      <xdr:row>0</xdr:row>
      <xdr:rowOff>66675</xdr:rowOff>
    </xdr:from>
    <xdr:to>
      <xdr:col>1</xdr:col>
      <xdr:colOff>876300</xdr:colOff>
      <xdr:row>6</xdr:row>
      <xdr:rowOff>95250</xdr:rowOff>
    </xdr:to>
    <xdr:pic>
      <xdr:nvPicPr>
        <xdr:cNvPr id="2" name="Picture 765"/>
        <xdr:cNvPicPr preferRelativeResize="1">
          <a:picLocks noChangeAspect="1"/>
        </xdr:cNvPicPr>
      </xdr:nvPicPr>
      <xdr:blipFill>
        <a:blip r:embed="rId1"/>
        <a:stretch>
          <a:fillRect/>
        </a:stretch>
      </xdr:blipFill>
      <xdr:spPr>
        <a:xfrm>
          <a:off x="85725" y="66675"/>
          <a:ext cx="1571625" cy="10001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0</xdr:row>
      <xdr:rowOff>28575</xdr:rowOff>
    </xdr:from>
    <xdr:to>
      <xdr:col>5</xdr:col>
      <xdr:colOff>1352550</xdr:colOff>
      <xdr:row>6</xdr:row>
      <xdr:rowOff>161925</xdr:rowOff>
    </xdr:to>
    <xdr:sp fLocksText="0">
      <xdr:nvSpPr>
        <xdr:cNvPr id="1" name="CaixaDeTexto 1"/>
        <xdr:cNvSpPr txBox="1">
          <a:spLocks noChangeArrowheads="1"/>
        </xdr:cNvSpPr>
      </xdr:nvSpPr>
      <xdr:spPr>
        <a:xfrm>
          <a:off x="1800225" y="28575"/>
          <a:ext cx="7400925" cy="1104900"/>
        </a:xfrm>
        <a:prstGeom prst="rect">
          <a:avLst/>
        </a:prstGeom>
        <a:solidFill>
          <a:srgbClr val="FFFFFF"/>
        </a:solidFill>
        <a:ln w="9525" cmpd="sng">
          <a:noFill/>
        </a:ln>
      </xdr:spPr>
      <xdr:txBody>
        <a:bodyPr vertOverflow="clip" wrap="square" lIns="20160" tIns="20160" rIns="20160" bIns="20160"/>
        <a:p>
          <a:pPr algn="ctr">
            <a:defRPr/>
          </a:pPr>
          <a:r>
            <a:rPr lang="en-US" cap="none" sz="1600" b="1" i="0" u="none" baseline="0">
              <a:solidFill>
                <a:srgbClr val="000000"/>
              </a:solidFill>
              <a:latin typeface="Arial"/>
              <a:ea typeface="Arial"/>
              <a:cs typeface="Arial"/>
            </a:rPr>
            <a:t>CENTRO FEDERAL DE EDUCAÇÃO TECNOLÓGICA DE MINAS GERAIS
</a:t>
          </a:r>
          <a:r>
            <a:rPr lang="en-US" cap="none" sz="1200" b="0" i="0" u="none" baseline="0">
              <a:solidFill>
                <a:srgbClr val="000000"/>
              </a:solidFill>
              <a:latin typeface="Arial"/>
              <a:ea typeface="Arial"/>
              <a:cs typeface="Arial"/>
            </a:rPr>
            <a:t>COORDENAÇÃO DE INFRAESTRUTURA
</a:t>
          </a:r>
          <a:r>
            <a:rPr lang="en-US" cap="none" sz="1100" b="0" i="0" u="none" baseline="0">
              <a:solidFill>
                <a:srgbClr val="000000"/>
              </a:solidFill>
              <a:latin typeface="Arial"/>
              <a:ea typeface="Arial"/>
              <a:cs typeface="Arial"/>
            </a:rPr>
            <a:t>
</a:t>
          </a:r>
          <a:r>
            <a:rPr lang="en-US" cap="none" sz="1400" b="0" i="1" u="none" baseline="0">
              <a:solidFill>
                <a:srgbClr val="000000"/>
              </a:solidFill>
              <a:latin typeface="Arial"/>
              <a:ea typeface="Arial"/>
              <a:cs typeface="Arial"/>
            </a:rPr>
            <a:t>Reforma do estacionamento, paisagismo, sistema de irrigação, adequação do SPCI e demais intervenções complementares - Campus de Timóteo do CEFET-MG
</a:t>
          </a:r>
        </a:p>
      </xdr:txBody>
    </xdr:sp>
    <xdr:clientData/>
  </xdr:twoCellAnchor>
  <xdr:twoCellAnchor>
    <xdr:from>
      <xdr:col>0</xdr:col>
      <xdr:colOff>85725</xdr:colOff>
      <xdr:row>0</xdr:row>
      <xdr:rowOff>66675</xdr:rowOff>
    </xdr:from>
    <xdr:to>
      <xdr:col>1</xdr:col>
      <xdr:colOff>876300</xdr:colOff>
      <xdr:row>6</xdr:row>
      <xdr:rowOff>95250</xdr:rowOff>
    </xdr:to>
    <xdr:pic>
      <xdr:nvPicPr>
        <xdr:cNvPr id="2" name="Picture 765"/>
        <xdr:cNvPicPr preferRelativeResize="1">
          <a:picLocks noChangeAspect="1"/>
        </xdr:cNvPicPr>
      </xdr:nvPicPr>
      <xdr:blipFill>
        <a:blip r:embed="rId1"/>
        <a:stretch>
          <a:fillRect/>
        </a:stretch>
      </xdr:blipFill>
      <xdr:spPr>
        <a:xfrm>
          <a:off x="85725" y="66675"/>
          <a:ext cx="1571625" cy="100012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0</xdr:row>
      <xdr:rowOff>28575</xdr:rowOff>
    </xdr:from>
    <xdr:to>
      <xdr:col>5</xdr:col>
      <xdr:colOff>1352550</xdr:colOff>
      <xdr:row>6</xdr:row>
      <xdr:rowOff>161925</xdr:rowOff>
    </xdr:to>
    <xdr:sp fLocksText="0">
      <xdr:nvSpPr>
        <xdr:cNvPr id="1" name="CaixaDeTexto 1"/>
        <xdr:cNvSpPr txBox="1">
          <a:spLocks noChangeArrowheads="1"/>
        </xdr:cNvSpPr>
      </xdr:nvSpPr>
      <xdr:spPr>
        <a:xfrm>
          <a:off x="1800225" y="28575"/>
          <a:ext cx="7400925" cy="1104900"/>
        </a:xfrm>
        <a:prstGeom prst="rect">
          <a:avLst/>
        </a:prstGeom>
        <a:solidFill>
          <a:srgbClr val="FFFFFF"/>
        </a:solidFill>
        <a:ln w="9525" cmpd="sng">
          <a:noFill/>
        </a:ln>
      </xdr:spPr>
      <xdr:txBody>
        <a:bodyPr vertOverflow="clip" wrap="square" lIns="20160" tIns="20160" rIns="20160" bIns="20160"/>
        <a:p>
          <a:pPr algn="ctr">
            <a:defRPr/>
          </a:pPr>
          <a:r>
            <a:rPr lang="en-US" cap="none" sz="1600" b="1" i="0" u="none" baseline="0">
              <a:solidFill>
                <a:srgbClr val="000000"/>
              </a:solidFill>
              <a:latin typeface="Arial"/>
              <a:ea typeface="Arial"/>
              <a:cs typeface="Arial"/>
            </a:rPr>
            <a:t>CENTRO FEDERAL DE EDUCAÇÃO TECNOLÓGICA DE MINAS GERAIS
</a:t>
          </a:r>
          <a:r>
            <a:rPr lang="en-US" cap="none" sz="1200" b="0" i="0" u="none" baseline="0">
              <a:solidFill>
                <a:srgbClr val="000000"/>
              </a:solidFill>
              <a:latin typeface="Arial"/>
              <a:ea typeface="Arial"/>
              <a:cs typeface="Arial"/>
            </a:rPr>
            <a:t>COORDENAÇÃO DE INFRAESTRUTURA
</a:t>
          </a:r>
          <a:r>
            <a:rPr lang="en-US" cap="none" sz="1100" b="0" i="0" u="none" baseline="0">
              <a:solidFill>
                <a:srgbClr val="000000"/>
              </a:solidFill>
              <a:latin typeface="Arial"/>
              <a:ea typeface="Arial"/>
              <a:cs typeface="Arial"/>
            </a:rPr>
            <a:t>
</a:t>
          </a:r>
          <a:r>
            <a:rPr lang="en-US" cap="none" sz="1400" b="0" i="1" u="none" baseline="0">
              <a:solidFill>
                <a:srgbClr val="000000"/>
              </a:solidFill>
              <a:latin typeface="Arial"/>
              <a:ea typeface="Arial"/>
              <a:cs typeface="Arial"/>
            </a:rPr>
            <a:t>Reforma do estacionamento, paisagismo, sistema de irrigação, adequação do SPCI e demais intervenções complementares - Campus de Timóteo do CEFET-MG
</a:t>
          </a:r>
        </a:p>
      </xdr:txBody>
    </xdr:sp>
    <xdr:clientData/>
  </xdr:twoCellAnchor>
  <xdr:twoCellAnchor>
    <xdr:from>
      <xdr:col>0</xdr:col>
      <xdr:colOff>85725</xdr:colOff>
      <xdr:row>0</xdr:row>
      <xdr:rowOff>66675</xdr:rowOff>
    </xdr:from>
    <xdr:to>
      <xdr:col>1</xdr:col>
      <xdr:colOff>876300</xdr:colOff>
      <xdr:row>6</xdr:row>
      <xdr:rowOff>95250</xdr:rowOff>
    </xdr:to>
    <xdr:pic>
      <xdr:nvPicPr>
        <xdr:cNvPr id="2" name="Picture 765"/>
        <xdr:cNvPicPr preferRelativeResize="1">
          <a:picLocks noChangeAspect="1"/>
        </xdr:cNvPicPr>
      </xdr:nvPicPr>
      <xdr:blipFill>
        <a:blip r:embed="rId1"/>
        <a:stretch>
          <a:fillRect/>
        </a:stretch>
      </xdr:blipFill>
      <xdr:spPr>
        <a:xfrm>
          <a:off x="85725" y="66675"/>
          <a:ext cx="1571625" cy="100012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0</xdr:row>
      <xdr:rowOff>76200</xdr:rowOff>
    </xdr:from>
    <xdr:to>
      <xdr:col>13</xdr:col>
      <xdr:colOff>276225</xdr:colOff>
      <xdr:row>7</xdr:row>
      <xdr:rowOff>47625</xdr:rowOff>
    </xdr:to>
    <xdr:sp fLocksText="0">
      <xdr:nvSpPr>
        <xdr:cNvPr id="1" name="CaixaDeTexto 1"/>
        <xdr:cNvSpPr txBox="1">
          <a:spLocks noChangeArrowheads="1"/>
        </xdr:cNvSpPr>
      </xdr:nvSpPr>
      <xdr:spPr>
        <a:xfrm>
          <a:off x="5276850" y="76200"/>
          <a:ext cx="13525500" cy="1104900"/>
        </a:xfrm>
        <a:prstGeom prst="rect">
          <a:avLst/>
        </a:prstGeom>
        <a:solidFill>
          <a:srgbClr val="FFFFFF"/>
        </a:solidFill>
        <a:ln w="9525" cmpd="sng">
          <a:noFill/>
        </a:ln>
      </xdr:spPr>
      <xdr:txBody>
        <a:bodyPr vertOverflow="clip" wrap="square" lIns="20160" tIns="20160" rIns="20160" bIns="20160"/>
        <a:p>
          <a:pPr algn="ctr">
            <a:defRPr/>
          </a:pPr>
          <a:r>
            <a:rPr lang="en-US" cap="none" sz="1600" b="1" i="0" u="none" baseline="0">
              <a:solidFill>
                <a:srgbClr val="000000"/>
              </a:solidFill>
              <a:latin typeface="Arial"/>
              <a:ea typeface="Arial"/>
              <a:cs typeface="Arial"/>
            </a:rPr>
            <a:t>CENTRO FEDERAL DE EDUCAÇÃO TECNOLÓGICA DE MINAS GERAIS
</a:t>
          </a:r>
          <a:r>
            <a:rPr lang="en-US" cap="none" sz="1200" b="0" i="0" u="none" baseline="0">
              <a:solidFill>
                <a:srgbClr val="000000"/>
              </a:solidFill>
              <a:latin typeface="Arial"/>
              <a:ea typeface="Arial"/>
              <a:cs typeface="Arial"/>
            </a:rPr>
            <a:t>COORDENAÇÃO DE INFRAESTRUTURA
</a:t>
          </a:r>
          <a:r>
            <a:rPr lang="en-US" cap="none" sz="11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Reforma do estacionamento, drenagem, paisagismo, sistema de irrigação, adequação do SPCI e demais intervenções complementares - Campus de Timóteo do CEFET-MG</a:t>
          </a:r>
        </a:p>
      </xdr:txBody>
    </xdr:sp>
    <xdr:clientData/>
  </xdr:twoCellAnchor>
  <xdr:twoCellAnchor>
    <xdr:from>
      <xdr:col>1</xdr:col>
      <xdr:colOff>561975</xdr:colOff>
      <xdr:row>0</xdr:row>
      <xdr:rowOff>66675</xdr:rowOff>
    </xdr:from>
    <xdr:to>
      <xdr:col>1</xdr:col>
      <xdr:colOff>2333625</xdr:colOff>
      <xdr:row>7</xdr:row>
      <xdr:rowOff>57150</xdr:rowOff>
    </xdr:to>
    <xdr:pic>
      <xdr:nvPicPr>
        <xdr:cNvPr id="2" name="Picture 765"/>
        <xdr:cNvPicPr preferRelativeResize="1">
          <a:picLocks noChangeAspect="1"/>
        </xdr:cNvPicPr>
      </xdr:nvPicPr>
      <xdr:blipFill>
        <a:blip r:embed="rId1"/>
        <a:stretch>
          <a:fillRect/>
        </a:stretch>
      </xdr:blipFill>
      <xdr:spPr>
        <a:xfrm>
          <a:off x="1019175" y="66675"/>
          <a:ext cx="1771650" cy="112395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0</xdr:row>
      <xdr:rowOff>95250</xdr:rowOff>
    </xdr:from>
    <xdr:to>
      <xdr:col>7</xdr:col>
      <xdr:colOff>1028700</xdr:colOff>
      <xdr:row>7</xdr:row>
      <xdr:rowOff>66675</xdr:rowOff>
    </xdr:to>
    <xdr:sp fLocksText="0">
      <xdr:nvSpPr>
        <xdr:cNvPr id="1" name="CaixaDeTexto 3"/>
        <xdr:cNvSpPr txBox="1">
          <a:spLocks noChangeArrowheads="1"/>
        </xdr:cNvSpPr>
      </xdr:nvSpPr>
      <xdr:spPr>
        <a:xfrm>
          <a:off x="2038350" y="95250"/>
          <a:ext cx="7600950" cy="1104900"/>
        </a:xfrm>
        <a:prstGeom prst="rect">
          <a:avLst/>
        </a:prstGeom>
        <a:solidFill>
          <a:srgbClr val="FFFFFF"/>
        </a:solidFill>
        <a:ln w="9525" cmpd="sng">
          <a:noFill/>
        </a:ln>
      </xdr:spPr>
      <xdr:txBody>
        <a:bodyPr vertOverflow="clip" wrap="square" lIns="20160" tIns="20160" rIns="20160" bIns="20160"/>
        <a:p>
          <a:pPr algn="ctr">
            <a:defRPr/>
          </a:pPr>
          <a:r>
            <a:rPr lang="en-US" cap="none" sz="1600" b="1" i="0" u="none" baseline="0">
              <a:solidFill>
                <a:srgbClr val="000000"/>
              </a:solidFill>
              <a:latin typeface="Arial"/>
              <a:ea typeface="Arial"/>
              <a:cs typeface="Arial"/>
            </a:rPr>
            <a:t>CENTRO FEDERAL DE EDUCAÇÃO TECNOLÓGICA DE MINAS GERAIS
</a:t>
          </a:r>
          <a:r>
            <a:rPr lang="en-US" cap="none" sz="1200" b="0" i="0" u="none" baseline="0">
              <a:solidFill>
                <a:srgbClr val="000000"/>
              </a:solidFill>
              <a:latin typeface="Arial"/>
              <a:ea typeface="Arial"/>
              <a:cs typeface="Arial"/>
            </a:rPr>
            <a:t>COORDENAÇÃO DE INFRAESTRUTURA
</a:t>
          </a:r>
          <a:r>
            <a:rPr lang="en-US" cap="none" sz="1100" b="0" i="0" u="none" baseline="0">
              <a:solidFill>
                <a:srgbClr val="000000"/>
              </a:solidFill>
              <a:latin typeface="Arial"/>
              <a:ea typeface="Arial"/>
              <a:cs typeface="Arial"/>
            </a:rPr>
            <a:t>
</a:t>
          </a:r>
          <a:r>
            <a:rPr lang="en-US" cap="none" sz="1400" b="0" i="1" u="none" baseline="0">
              <a:solidFill>
                <a:srgbClr val="000000"/>
              </a:solidFill>
              <a:latin typeface="Arial"/>
              <a:ea typeface="Arial"/>
              <a:cs typeface="Arial"/>
            </a:rPr>
            <a:t>Reforma do estacionamento, paisagismo, sistema de irrigação, adequação do SPCI e demais intervenções complementares - Campus de Timóteo do CEFET-MG</a:t>
          </a:r>
        </a:p>
      </xdr:txBody>
    </xdr:sp>
    <xdr:clientData/>
  </xdr:twoCellAnchor>
  <xdr:twoCellAnchor>
    <xdr:from>
      <xdr:col>1</xdr:col>
      <xdr:colOff>66675</xdr:colOff>
      <xdr:row>0</xdr:row>
      <xdr:rowOff>133350</xdr:rowOff>
    </xdr:from>
    <xdr:to>
      <xdr:col>2</xdr:col>
      <xdr:colOff>323850</xdr:colOff>
      <xdr:row>6</xdr:row>
      <xdr:rowOff>161925</xdr:rowOff>
    </xdr:to>
    <xdr:pic>
      <xdr:nvPicPr>
        <xdr:cNvPr id="2" name="Picture 765"/>
        <xdr:cNvPicPr preferRelativeResize="1">
          <a:picLocks noChangeAspect="1"/>
        </xdr:cNvPicPr>
      </xdr:nvPicPr>
      <xdr:blipFill>
        <a:blip r:embed="rId1"/>
        <a:stretch>
          <a:fillRect/>
        </a:stretch>
      </xdr:blipFill>
      <xdr:spPr>
        <a:xfrm>
          <a:off x="323850" y="133350"/>
          <a:ext cx="1571625" cy="1000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21"/>
  </sheetPr>
  <dimension ref="A1:F16"/>
  <sheetViews>
    <sheetView tabSelected="1" view="pageBreakPreview" zoomScaleSheetLayoutView="100" workbookViewId="0" topLeftCell="A13">
      <selection activeCell="A8" sqref="A8"/>
    </sheetView>
  </sheetViews>
  <sheetFormatPr defaultColWidth="9.140625" defaultRowHeight="12.75"/>
  <cols>
    <col min="1" max="1" width="11.7109375" style="1" customWidth="1"/>
    <col min="2" max="2" width="70.7109375" style="2" customWidth="1"/>
    <col min="3" max="3" width="8.57421875" style="2" customWidth="1"/>
    <col min="4" max="4" width="10.28125" style="3" customWidth="1"/>
    <col min="5" max="5" width="16.421875" style="3" customWidth="1"/>
    <col min="6" max="6" width="21.421875" style="3" customWidth="1"/>
    <col min="7" max="16384" width="9.140625" style="3" customWidth="1"/>
  </cols>
  <sheetData>
    <row r="1" spans="1:6" ht="12.75">
      <c r="A1" s="4"/>
      <c r="B1" s="5"/>
      <c r="C1" s="6"/>
      <c r="D1" s="7"/>
      <c r="E1" s="7"/>
      <c r="F1" s="8"/>
    </row>
    <row r="2" spans="1:6" ht="12.75">
      <c r="A2" s="9"/>
      <c r="B2" s="10"/>
      <c r="C2" s="11"/>
      <c r="D2" s="12"/>
      <c r="E2" s="12"/>
      <c r="F2" s="13"/>
    </row>
    <row r="3" spans="1:6" ht="12.75">
      <c r="A3" s="9"/>
      <c r="B3" s="10"/>
      <c r="C3" s="11"/>
      <c r="D3" s="12"/>
      <c r="E3" s="12"/>
      <c r="F3" s="13"/>
    </row>
    <row r="4" spans="1:6" ht="12.75">
      <c r="A4" s="9"/>
      <c r="B4" s="10"/>
      <c r="C4" s="11"/>
      <c r="D4" s="12"/>
      <c r="E4" s="12"/>
      <c r="F4" s="13"/>
    </row>
    <row r="5" spans="1:6" ht="12.75">
      <c r="A5" s="9"/>
      <c r="B5" s="10"/>
      <c r="C5" s="11"/>
      <c r="D5" s="12"/>
      <c r="E5" s="12"/>
      <c r="F5" s="13"/>
    </row>
    <row r="6" spans="1:6" ht="12.75">
      <c r="A6" s="9"/>
      <c r="B6" s="14"/>
      <c r="C6" s="15"/>
      <c r="D6" s="16"/>
      <c r="E6" s="16"/>
      <c r="F6" s="17"/>
    </row>
    <row r="7" spans="1:6" ht="12.75">
      <c r="A7" s="18"/>
      <c r="B7" s="19"/>
      <c r="C7" s="20"/>
      <c r="D7" s="21"/>
      <c r="E7" s="21"/>
      <c r="F7" s="22"/>
    </row>
    <row r="8" spans="1:6" ht="18" customHeight="1">
      <c r="A8" s="23" t="s">
        <v>0</v>
      </c>
      <c r="B8" s="23"/>
      <c r="C8" s="23"/>
      <c r="D8" s="23"/>
      <c r="E8" s="23"/>
      <c r="F8" s="23"/>
    </row>
    <row r="9" spans="1:6" ht="13.5">
      <c r="A9" s="24"/>
      <c r="B9" s="25"/>
      <c r="C9" s="25"/>
      <c r="D9" s="26"/>
      <c r="E9" s="26"/>
      <c r="F9" s="27"/>
    </row>
    <row r="10" spans="1:6" ht="21">
      <c r="A10" s="28"/>
      <c r="B10" s="25"/>
      <c r="C10" s="29" t="s">
        <v>1</v>
      </c>
      <c r="D10" s="29"/>
      <c r="E10" s="29"/>
      <c r="F10" s="30" t="s">
        <v>2</v>
      </c>
    </row>
    <row r="11" spans="1:6" ht="36" customHeight="1">
      <c r="A11" s="31">
        <f>'PLAN.A_Serv. Prelim.'!A8:D8</f>
        <v>0</v>
      </c>
      <c r="B11" s="31"/>
      <c r="C11" s="32">
        <f>'PLAN.A_Serv. Prelim.'!F35</f>
        <v>132919.48</v>
      </c>
      <c r="D11" s="32"/>
      <c r="E11" s="32"/>
      <c r="F11" s="33">
        <f aca="true" t="shared" si="0" ref="F11:F14">C11/C$16</f>
        <v>0.10347990776207758</v>
      </c>
    </row>
    <row r="12" spans="1:6" ht="18" customHeight="1">
      <c r="A12" s="31">
        <f>'PLAN.B_Estacionamento'!A8</f>
        <v>0</v>
      </c>
      <c r="B12" s="31"/>
      <c r="C12" s="34">
        <f>'PLAN.B_Estacionamento'!F146</f>
        <v>998564.38</v>
      </c>
      <c r="D12" s="34"/>
      <c r="E12" s="34"/>
      <c r="F12" s="33">
        <f t="shared" si="0"/>
        <v>0.7773980904596992</v>
      </c>
    </row>
    <row r="13" spans="1:6" ht="36" customHeight="1">
      <c r="A13" s="31">
        <f>'PLAN.C_SPCIP'!A8</f>
        <v>0</v>
      </c>
      <c r="B13" s="31"/>
      <c r="C13" s="34">
        <f>'PLAN.C_SPCIP'!F157</f>
        <v>93255.25</v>
      </c>
      <c r="D13" s="34"/>
      <c r="E13" s="34"/>
      <c r="F13" s="33">
        <f t="shared" si="0"/>
        <v>0.07260068026394238</v>
      </c>
    </row>
    <row r="14" spans="1:6" ht="18" customHeight="1">
      <c r="A14" s="31">
        <f>'PLAN.D_Serv. Comp.'!A8</f>
        <v>0</v>
      </c>
      <c r="B14" s="31"/>
      <c r="C14" s="34">
        <f>'PLAN.D_Serv. Comp.'!F54</f>
        <v>59756.43000000001</v>
      </c>
      <c r="D14" s="34"/>
      <c r="E14" s="34"/>
      <c r="F14" s="33">
        <f t="shared" si="0"/>
        <v>0.04652132151428102</v>
      </c>
    </row>
    <row r="15" ht="13.5"/>
    <row r="16" spans="1:6" ht="21">
      <c r="A16" s="35" t="s">
        <v>3</v>
      </c>
      <c r="B16" s="35"/>
      <c r="C16" s="36">
        <f>SUM(C11:E14)</f>
        <v>1284495.5399999998</v>
      </c>
      <c r="D16" s="36"/>
      <c r="E16" s="36"/>
      <c r="F16" s="37">
        <v>1</v>
      </c>
    </row>
  </sheetData>
  <sheetProtection selectLockedCells="1" selectUnlockedCells="1"/>
  <mergeCells count="12">
    <mergeCell ref="A8:F8"/>
    <mergeCell ref="C10:E10"/>
    <mergeCell ref="A11:B11"/>
    <mergeCell ref="C11:E11"/>
    <mergeCell ref="A12:B12"/>
    <mergeCell ref="C12:E12"/>
    <mergeCell ref="A13:B13"/>
    <mergeCell ref="C13:E13"/>
    <mergeCell ref="A14:B14"/>
    <mergeCell ref="C14:E14"/>
    <mergeCell ref="A16:B16"/>
    <mergeCell ref="C16:E16"/>
  </mergeCells>
  <printOptions horizontalCentered="1"/>
  <pageMargins left="0.7875" right="0.19652777777777777" top="0.39375" bottom="0.7868055555555555" header="0.5118055555555555" footer="0.19652777777777777"/>
  <pageSetup horizontalDpi="300" verticalDpi="300" orientation="portrait" paperSize="9" scale="68"/>
  <headerFooter alignWithMargins="0">
    <oddFooter>&amp;LPLANILHA RESUMO - Reforma do estacionamento, paisagismo, sistema de irrigação, adequação do SPCI e demais intervenções complementares
Campus de Timóteo do CEFET-MG&amp;RPágina &amp;P de &amp;N</oddFooter>
  </headerFooter>
  <drawing r:id="rId1"/>
</worksheet>
</file>

<file path=xl/worksheets/sheet2.xml><?xml version="1.0" encoding="utf-8"?>
<worksheet xmlns="http://schemas.openxmlformats.org/spreadsheetml/2006/main" xmlns:r="http://schemas.openxmlformats.org/officeDocument/2006/relationships">
  <sheetPr>
    <tabColor indexed="21"/>
  </sheetPr>
  <dimension ref="A1:F61"/>
  <sheetViews>
    <sheetView view="pageBreakPreview" zoomScaleSheetLayoutView="100" workbookViewId="0" topLeftCell="A1">
      <selection activeCell="C32" sqref="C32"/>
    </sheetView>
  </sheetViews>
  <sheetFormatPr defaultColWidth="9.140625" defaultRowHeight="12.75"/>
  <cols>
    <col min="1" max="1" width="11.7109375" style="1" customWidth="1"/>
    <col min="2" max="2" width="70.7109375" style="2" customWidth="1"/>
    <col min="3" max="3" width="8.57421875" style="2" customWidth="1"/>
    <col min="4" max="4" width="10.28125" style="3" customWidth="1"/>
    <col min="5" max="5" width="16.421875" style="3" customWidth="1"/>
    <col min="6" max="6" width="21.421875" style="3" customWidth="1"/>
    <col min="7" max="16384" width="9.140625" style="3" customWidth="1"/>
  </cols>
  <sheetData>
    <row r="1" spans="1:6" ht="12.75">
      <c r="A1" s="4"/>
      <c r="B1" s="5"/>
      <c r="C1" s="6"/>
      <c r="D1" s="7"/>
      <c r="E1" s="7"/>
      <c r="F1" s="8"/>
    </row>
    <row r="2" spans="1:6" ht="12.75">
      <c r="A2" s="9"/>
      <c r="B2" s="10"/>
      <c r="C2" s="11"/>
      <c r="D2" s="12"/>
      <c r="E2" s="12"/>
      <c r="F2" s="13"/>
    </row>
    <row r="3" spans="1:6" ht="12.75">
      <c r="A3" s="9"/>
      <c r="B3" s="10"/>
      <c r="C3" s="11"/>
      <c r="D3" s="12"/>
      <c r="E3" s="12"/>
      <c r="F3" s="13"/>
    </row>
    <row r="4" spans="1:6" ht="12.75">
      <c r="A4" s="9"/>
      <c r="B4" s="10"/>
      <c r="C4" s="11"/>
      <c r="D4" s="12"/>
      <c r="E4" s="12"/>
      <c r="F4" s="13"/>
    </row>
    <row r="5" spans="1:6" ht="12.75">
      <c r="A5" s="9"/>
      <c r="B5" s="10"/>
      <c r="C5" s="11"/>
      <c r="D5" s="12"/>
      <c r="E5" s="12"/>
      <c r="F5" s="13"/>
    </row>
    <row r="6" spans="1:6" ht="12.75">
      <c r="A6" s="9"/>
      <c r="B6" s="14"/>
      <c r="C6" s="15"/>
      <c r="D6" s="16"/>
      <c r="E6" s="16"/>
      <c r="F6" s="17"/>
    </row>
    <row r="7" spans="1:6" ht="12.75">
      <c r="A7" s="18"/>
      <c r="B7" s="19"/>
      <c r="C7" s="20"/>
      <c r="D7" s="21"/>
      <c r="E7" s="21"/>
      <c r="F7" s="22"/>
    </row>
    <row r="8" spans="1:6" ht="18" customHeight="1">
      <c r="A8" s="23" t="s">
        <v>4</v>
      </c>
      <c r="B8" s="23"/>
      <c r="C8" s="23"/>
      <c r="D8" s="23"/>
      <c r="E8" s="23"/>
      <c r="F8" s="23"/>
    </row>
    <row r="9" spans="1:6" ht="13.5">
      <c r="A9" s="24"/>
      <c r="B9" s="25"/>
      <c r="C9" s="25"/>
      <c r="D9" s="26"/>
      <c r="E9" s="26"/>
      <c r="F9" s="27"/>
    </row>
    <row r="10" spans="1:6" ht="18.75">
      <c r="A10" s="24"/>
      <c r="B10" s="38" t="s">
        <v>5</v>
      </c>
      <c r="C10" s="39" t="s">
        <v>6</v>
      </c>
      <c r="D10" s="39"/>
      <c r="E10" s="26"/>
      <c r="F10" s="27"/>
    </row>
    <row r="11" spans="1:6" ht="15.75">
      <c r="A11" s="24"/>
      <c r="B11" s="40"/>
      <c r="C11" s="41"/>
      <c r="D11" s="42"/>
      <c r="E11" s="26"/>
      <c r="F11" s="27"/>
    </row>
    <row r="12" spans="1:6" ht="15.75">
      <c r="A12" s="24"/>
      <c r="B12" s="43" t="s">
        <v>7</v>
      </c>
      <c r="C12" s="44">
        <v>0.03</v>
      </c>
      <c r="D12" s="44"/>
      <c r="E12" s="26"/>
      <c r="F12" s="27"/>
    </row>
    <row r="13" spans="1:6" ht="15">
      <c r="A13" s="24"/>
      <c r="B13" s="45"/>
      <c r="C13" s="46"/>
      <c r="D13" s="47"/>
      <c r="E13" s="26"/>
      <c r="F13" s="27"/>
    </row>
    <row r="14" spans="1:6" ht="15.75">
      <c r="A14" s="24"/>
      <c r="B14" s="48" t="s">
        <v>8</v>
      </c>
      <c r="C14" s="44">
        <v>0.008</v>
      </c>
      <c r="D14" s="44"/>
      <c r="E14" s="26"/>
      <c r="F14" s="27"/>
    </row>
    <row r="15" spans="1:6" ht="15">
      <c r="A15" s="24"/>
      <c r="B15" s="45"/>
      <c r="C15" s="46"/>
      <c r="D15" s="49"/>
      <c r="E15" s="26"/>
      <c r="F15" s="27"/>
    </row>
    <row r="16" spans="1:6" ht="15.75">
      <c r="A16" s="24"/>
      <c r="B16" s="48" t="s">
        <v>9</v>
      </c>
      <c r="C16" s="44">
        <v>0.0097</v>
      </c>
      <c r="D16" s="44"/>
      <c r="E16" s="26"/>
      <c r="F16" s="27"/>
    </row>
    <row r="17" spans="1:6" ht="15.75">
      <c r="A17" s="24"/>
      <c r="B17" s="50"/>
      <c r="C17" s="51"/>
      <c r="D17" s="52"/>
      <c r="E17" s="26"/>
      <c r="F17" s="27"/>
    </row>
    <row r="18" spans="1:6" ht="16.5">
      <c r="A18" s="24"/>
      <c r="B18" s="53" t="s">
        <v>10</v>
      </c>
      <c r="C18" s="54">
        <f>C12+C14+C16</f>
        <v>0.0477</v>
      </c>
      <c r="D18" s="54"/>
      <c r="E18" s="26"/>
      <c r="F18" s="27"/>
    </row>
    <row r="19" spans="1:6" ht="13.5">
      <c r="A19" s="24"/>
      <c r="B19" s="25"/>
      <c r="C19" s="25"/>
      <c r="D19" s="26"/>
      <c r="E19" s="26"/>
      <c r="F19" s="27"/>
    </row>
    <row r="20" spans="1:6" ht="18.75">
      <c r="A20" s="24"/>
      <c r="B20" s="38" t="s">
        <v>11</v>
      </c>
      <c r="C20" s="39" t="s">
        <v>6</v>
      </c>
      <c r="D20" s="39"/>
      <c r="E20" s="26"/>
      <c r="F20" s="27"/>
    </row>
    <row r="21" spans="1:6" ht="15.75">
      <c r="A21" s="24"/>
      <c r="B21" s="40"/>
      <c r="C21" s="41"/>
      <c r="D21" s="42"/>
      <c r="E21" s="26"/>
      <c r="F21" s="27"/>
    </row>
    <row r="22" spans="1:6" ht="15.75">
      <c r="A22" s="24"/>
      <c r="B22" s="55" t="s">
        <v>12</v>
      </c>
      <c r="C22" s="44">
        <v>0.0616</v>
      </c>
      <c r="D22" s="44"/>
      <c r="E22" s="26"/>
      <c r="F22" s="27"/>
    </row>
    <row r="23" spans="1:6" ht="15.75">
      <c r="A23" s="24"/>
      <c r="B23" s="50"/>
      <c r="C23" s="51"/>
      <c r="D23" s="52"/>
      <c r="E23" s="26"/>
      <c r="F23" s="27"/>
    </row>
    <row r="24" spans="1:6" ht="16.5">
      <c r="A24" s="24"/>
      <c r="B24" s="53" t="s">
        <v>13</v>
      </c>
      <c r="C24" s="54">
        <f>C22</f>
        <v>0.0616</v>
      </c>
      <c r="D24" s="54"/>
      <c r="E24" s="26"/>
      <c r="F24" s="27"/>
    </row>
    <row r="25" spans="1:6" ht="13.5">
      <c r="A25" s="24"/>
      <c r="B25" s="25"/>
      <c r="C25" s="25"/>
      <c r="D25" s="26"/>
      <c r="E25" s="26"/>
      <c r="F25" s="27"/>
    </row>
    <row r="26" spans="1:6" ht="18.75">
      <c r="A26" s="24"/>
      <c r="B26" s="38" t="s">
        <v>14</v>
      </c>
      <c r="C26" s="39" t="s">
        <v>6</v>
      </c>
      <c r="D26" s="39"/>
      <c r="E26" s="26"/>
      <c r="F26" s="27"/>
    </row>
    <row r="27" spans="1:6" ht="15.75">
      <c r="A27" s="24"/>
      <c r="B27" s="40"/>
      <c r="C27" s="56"/>
      <c r="D27" s="57"/>
      <c r="E27" s="26"/>
      <c r="F27" s="27"/>
    </row>
    <row r="28" spans="1:6" ht="15.75">
      <c r="A28" s="24"/>
      <c r="B28" s="55" t="s">
        <v>15</v>
      </c>
      <c r="C28" s="44">
        <v>0.0065</v>
      </c>
      <c r="D28" s="44"/>
      <c r="E28" s="26"/>
      <c r="F28" s="27"/>
    </row>
    <row r="29" spans="1:6" ht="15">
      <c r="A29" s="24"/>
      <c r="B29" s="58"/>
      <c r="C29" s="59"/>
      <c r="D29" s="60"/>
      <c r="E29" s="26"/>
      <c r="F29" s="27"/>
    </row>
    <row r="30" spans="1:6" ht="15.75">
      <c r="A30" s="24"/>
      <c r="B30" s="55" t="s">
        <v>16</v>
      </c>
      <c r="C30" s="44">
        <v>0.03</v>
      </c>
      <c r="D30" s="44"/>
      <c r="E30" s="26"/>
      <c r="F30" s="27"/>
    </row>
    <row r="31" spans="1:6" ht="15">
      <c r="A31" s="24"/>
      <c r="B31" s="58"/>
      <c r="C31" s="59"/>
      <c r="D31" s="60"/>
      <c r="E31" s="26"/>
      <c r="F31" s="27"/>
    </row>
    <row r="32" spans="1:6" ht="15.75">
      <c r="A32" s="24"/>
      <c r="B32" s="55" t="s">
        <v>17</v>
      </c>
      <c r="C32" s="61">
        <f>5%*0.6</f>
        <v>0.03</v>
      </c>
      <c r="D32" s="61"/>
      <c r="E32" s="26"/>
      <c r="F32" s="27"/>
    </row>
    <row r="33" spans="1:6" ht="15">
      <c r="A33" s="24"/>
      <c r="B33" s="62"/>
      <c r="C33" s="46"/>
      <c r="D33" s="49"/>
      <c r="E33" s="26"/>
      <c r="F33" s="27"/>
    </row>
    <row r="34" spans="1:6" ht="15.75">
      <c r="A34" s="24"/>
      <c r="B34" s="55" t="s">
        <v>18</v>
      </c>
      <c r="C34" s="63">
        <v>0.045</v>
      </c>
      <c r="D34" s="63"/>
      <c r="E34" s="26"/>
      <c r="F34" s="27"/>
    </row>
    <row r="35" spans="1:6" ht="15.75">
      <c r="A35" s="24"/>
      <c r="B35" s="62"/>
      <c r="C35" s="64"/>
      <c r="D35" s="65"/>
      <c r="E35" s="26"/>
      <c r="F35" s="27"/>
    </row>
    <row r="36" spans="1:6" ht="16.5">
      <c r="A36" s="24"/>
      <c r="B36" s="53" t="s">
        <v>19</v>
      </c>
      <c r="C36" s="54">
        <f>C28+C30+C32+C34</f>
        <v>0.1115</v>
      </c>
      <c r="D36" s="54"/>
      <c r="E36" s="26"/>
      <c r="F36" s="27"/>
    </row>
    <row r="37" spans="1:6" ht="13.5">
      <c r="A37" s="24"/>
      <c r="B37" s="25"/>
      <c r="C37" s="25"/>
      <c r="D37" s="26"/>
      <c r="E37" s="26"/>
      <c r="F37" s="27"/>
    </row>
    <row r="38" spans="1:6" ht="18.75">
      <c r="A38" s="24"/>
      <c r="B38" s="38" t="s">
        <v>20</v>
      </c>
      <c r="C38" s="39" t="s">
        <v>6</v>
      </c>
      <c r="D38" s="39"/>
      <c r="E38" s="26"/>
      <c r="F38" s="27"/>
    </row>
    <row r="39" spans="1:6" ht="15.75">
      <c r="A39" s="24"/>
      <c r="B39" s="40"/>
      <c r="C39" s="41"/>
      <c r="D39" s="42"/>
      <c r="E39" s="26"/>
      <c r="F39" s="27"/>
    </row>
    <row r="40" spans="1:6" ht="15.75">
      <c r="A40" s="24"/>
      <c r="B40" s="66" t="s">
        <v>21</v>
      </c>
      <c r="C40" s="63">
        <v>0.0059</v>
      </c>
      <c r="D40" s="63"/>
      <c r="E40" s="26"/>
      <c r="F40" s="27"/>
    </row>
    <row r="41" spans="1:6" ht="15.75">
      <c r="A41" s="24"/>
      <c r="B41" s="67"/>
      <c r="C41" s="68"/>
      <c r="D41" s="69"/>
      <c r="E41" s="26"/>
      <c r="F41" s="27"/>
    </row>
    <row r="42" spans="1:6" ht="16.5">
      <c r="A42" s="24"/>
      <c r="B42" s="53" t="s">
        <v>22</v>
      </c>
      <c r="C42" s="54">
        <f>C40</f>
        <v>0.0059</v>
      </c>
      <c r="D42" s="54"/>
      <c r="E42" s="26"/>
      <c r="F42" s="27"/>
    </row>
    <row r="43" spans="1:6" ht="13.5">
      <c r="A43" s="24"/>
      <c r="B43" s="25"/>
      <c r="C43" s="25"/>
      <c r="D43" s="26"/>
      <c r="E43" s="26"/>
      <c r="F43" s="27"/>
    </row>
    <row r="44" spans="1:6" ht="16.5">
      <c r="A44" s="24"/>
      <c r="B44" s="25"/>
      <c r="C44" s="39" t="s">
        <v>6</v>
      </c>
      <c r="D44" s="39"/>
      <c r="E44" s="70" t="s">
        <v>1</v>
      </c>
      <c r="F44" s="71"/>
    </row>
    <row r="45" spans="1:6" ht="18.75">
      <c r="A45" s="24"/>
      <c r="B45" s="72" t="s">
        <v>23</v>
      </c>
      <c r="C45" s="73">
        <f>C59</f>
        <v>0.2592</v>
      </c>
      <c r="D45" s="73"/>
      <c r="E45" s="74">
        <f>ROUND(E52*C45,2)</f>
        <v>332941.24</v>
      </c>
      <c r="F45" s="75"/>
    </row>
    <row r="46" spans="1:6" ht="12.75">
      <c r="A46" s="24"/>
      <c r="B46" s="25"/>
      <c r="C46" s="25"/>
      <c r="D46" s="26"/>
      <c r="E46" s="26"/>
      <c r="F46" s="27"/>
    </row>
    <row r="47" spans="1:6" ht="13.5">
      <c r="A47" s="24"/>
      <c r="B47" s="25"/>
      <c r="C47" s="25"/>
      <c r="D47" s="26"/>
      <c r="E47" s="26"/>
      <c r="F47" s="27"/>
    </row>
    <row r="48" spans="1:6" ht="16.5">
      <c r="A48" s="24"/>
      <c r="B48" s="39" t="s">
        <v>24</v>
      </c>
      <c r="C48" s="39"/>
      <c r="D48" s="39"/>
      <c r="E48" s="70" t="s">
        <v>1</v>
      </c>
      <c r="F48" s="71"/>
    </row>
    <row r="49" spans="1:6" ht="15">
      <c r="A49" s="24"/>
      <c r="B49" s="76" t="s">
        <v>25</v>
      </c>
      <c r="C49" s="76"/>
      <c r="D49" s="76"/>
      <c r="E49" s="77">
        <f>E52-E50</f>
        <v>951554.2999999998</v>
      </c>
      <c r="F49" s="78"/>
    </row>
    <row r="50" spans="1:6" ht="15">
      <c r="A50" s="24"/>
      <c r="B50" s="79" t="s">
        <v>26</v>
      </c>
      <c r="C50" s="79"/>
      <c r="D50" s="79"/>
      <c r="E50" s="80">
        <f>E45</f>
        <v>332941.24</v>
      </c>
      <c r="F50" s="78"/>
    </row>
    <row r="51" spans="1:6" ht="13.5">
      <c r="A51" s="24"/>
      <c r="B51" s="25"/>
      <c r="C51" s="25"/>
      <c r="D51" s="26"/>
      <c r="E51" s="26"/>
      <c r="F51" s="27"/>
    </row>
    <row r="52" spans="1:6" ht="16.5">
      <c r="A52" s="24"/>
      <c r="B52" s="81" t="s">
        <v>27</v>
      </c>
      <c r="C52" s="81"/>
      <c r="D52" s="81"/>
      <c r="E52" s="82">
        <f>RESUMO!C16</f>
        <v>1284495.5399999998</v>
      </c>
      <c r="F52" s="83"/>
    </row>
    <row r="53" spans="1:6" ht="12.75">
      <c r="A53" s="24"/>
      <c r="B53" s="25"/>
      <c r="C53" s="25"/>
      <c r="D53" s="26"/>
      <c r="E53" s="26"/>
      <c r="F53" s="27"/>
    </row>
    <row r="54" spans="1:6" ht="18">
      <c r="A54" s="84" t="s">
        <v>28</v>
      </c>
      <c r="B54" s="84"/>
      <c r="C54" s="84"/>
      <c r="D54" s="84"/>
      <c r="E54" s="84"/>
      <c r="F54" s="84"/>
    </row>
    <row r="55" spans="1:6" ht="30" customHeight="1">
      <c r="A55" s="85" t="s">
        <v>29</v>
      </c>
      <c r="B55" s="85"/>
      <c r="C55" s="85"/>
      <c r="D55" s="85"/>
      <c r="E55" s="85"/>
      <c r="F55" s="85"/>
    </row>
    <row r="56" spans="1:6" ht="30" customHeight="1">
      <c r="A56" s="86" t="s">
        <v>30</v>
      </c>
      <c r="B56" s="86"/>
      <c r="C56" s="86"/>
      <c r="D56" s="86"/>
      <c r="E56" s="86"/>
      <c r="F56" s="86"/>
    </row>
    <row r="57" spans="1:6" ht="12.75" customHeight="1">
      <c r="A57" s="85" t="s">
        <v>31</v>
      </c>
      <c r="B57" s="85"/>
      <c r="C57" s="85"/>
      <c r="D57" s="85"/>
      <c r="E57" s="85"/>
      <c r="F57" s="85"/>
    </row>
    <row r="58" spans="1:6" ht="12.75" customHeight="1">
      <c r="A58" s="87" t="s">
        <v>32</v>
      </c>
      <c r="B58" s="87"/>
      <c r="C58" s="87"/>
      <c r="D58" s="87"/>
      <c r="E58" s="87"/>
      <c r="F58" s="87"/>
    </row>
    <row r="59" spans="1:6" ht="15.75">
      <c r="A59" s="88" t="s">
        <v>33</v>
      </c>
      <c r="B59" s="89"/>
      <c r="C59" s="90">
        <f>ROUND(((1+(C12+C14+C16))*(1+C42)*(1+C24)/(1-C36))-1,4)</f>
        <v>0.2592</v>
      </c>
      <c r="D59" s="90"/>
      <c r="E59" s="90"/>
      <c r="F59" s="91"/>
    </row>
    <row r="60" spans="1:6" ht="113.25" customHeight="1">
      <c r="A60" s="85" t="s">
        <v>34</v>
      </c>
      <c r="B60" s="85"/>
      <c r="C60" s="85"/>
      <c r="D60" s="85"/>
      <c r="E60" s="85"/>
      <c r="F60" s="85"/>
    </row>
    <row r="61" spans="1:6" ht="12.75">
      <c r="A61" s="28"/>
      <c r="B61" s="92"/>
      <c r="C61" s="92"/>
      <c r="D61" s="93"/>
      <c r="E61" s="93"/>
      <c r="F61" s="94"/>
    </row>
  </sheetData>
  <sheetProtection selectLockedCells="1" selectUnlockedCells="1"/>
  <mergeCells count="31">
    <mergeCell ref="A8:F8"/>
    <mergeCell ref="C10:D10"/>
    <mergeCell ref="C12:D12"/>
    <mergeCell ref="C14:D14"/>
    <mergeCell ref="C16:D16"/>
    <mergeCell ref="C18:D18"/>
    <mergeCell ref="C20:D20"/>
    <mergeCell ref="C22:D22"/>
    <mergeCell ref="C24:D24"/>
    <mergeCell ref="C26:D26"/>
    <mergeCell ref="C28:D28"/>
    <mergeCell ref="C30:D30"/>
    <mergeCell ref="C32:D32"/>
    <mergeCell ref="C34:D34"/>
    <mergeCell ref="C36:D36"/>
    <mergeCell ref="C38:D38"/>
    <mergeCell ref="C40:D40"/>
    <mergeCell ref="C42:D42"/>
    <mergeCell ref="C44:D44"/>
    <mergeCell ref="C45:D45"/>
    <mergeCell ref="B48:D48"/>
    <mergeCell ref="B49:D49"/>
    <mergeCell ref="B50:D50"/>
    <mergeCell ref="B52:D52"/>
    <mergeCell ref="A54:F54"/>
    <mergeCell ref="A55:F55"/>
    <mergeCell ref="A56:F56"/>
    <mergeCell ref="A57:F57"/>
    <mergeCell ref="A58:F58"/>
    <mergeCell ref="C59:E59"/>
    <mergeCell ref="A60:F60"/>
  </mergeCells>
  <conditionalFormatting sqref="C12:D12 C14:D14 C16:D16 C22:D22 C28:D28 C40:D40">
    <cfRule type="expression" priority="1" dxfId="0" stopIfTrue="1">
      <formula>LEN(TRIM(C12))=0</formula>
    </cfRule>
  </conditionalFormatting>
  <conditionalFormatting sqref="C30:D30">
    <cfRule type="expression" priority="2" dxfId="0" stopIfTrue="1">
      <formula>LEN(TRIM(C30))=0</formula>
    </cfRule>
  </conditionalFormatting>
  <conditionalFormatting sqref="C32:D32">
    <cfRule type="expression" priority="3" dxfId="0" stopIfTrue="1">
      <formula>LEN(TRIM(C32))=0</formula>
    </cfRule>
  </conditionalFormatting>
  <conditionalFormatting sqref="C34:D34">
    <cfRule type="expression" priority="4" dxfId="0" stopIfTrue="1">
      <formula>LEN(TRIM(C34))=0</formula>
    </cfRule>
  </conditionalFormatting>
  <printOptions horizontalCentered="1"/>
  <pageMargins left="0.7875" right="0.19652777777777777" top="0.39375" bottom="0.7868055555555555" header="0.5118055555555555" footer="0.19652777777777777"/>
  <pageSetup horizontalDpi="300" verticalDpi="300" orientation="portrait" paperSize="9" scale="68"/>
  <headerFooter alignWithMargins="0">
    <oddFooter>&amp;L&amp;12BDI - Reforma do estacionamento, paisagismo, sistema de irrigação, adequação do SPCI e demais intervenções complementares
Campus de Timóteo do CEFET-MG&amp;RPágina &amp;P de &amp;N</oddFooter>
  </headerFooter>
  <drawing r:id="rId1"/>
</worksheet>
</file>

<file path=xl/worksheets/sheet3.xml><?xml version="1.0" encoding="utf-8"?>
<worksheet xmlns="http://schemas.openxmlformats.org/spreadsheetml/2006/main" xmlns:r="http://schemas.openxmlformats.org/officeDocument/2006/relationships">
  <sheetPr>
    <tabColor indexed="21"/>
  </sheetPr>
  <dimension ref="A1:I37"/>
  <sheetViews>
    <sheetView view="pageBreakPreview" zoomScaleSheetLayoutView="100" workbookViewId="0" topLeftCell="A1">
      <pane ySplit="9" topLeftCell="A10" activePane="bottomLeft" state="frozen"/>
      <selection pane="topLeft" activeCell="A1" sqref="A1"/>
      <selection pane="bottomLeft" activeCell="A9" sqref="A9"/>
    </sheetView>
  </sheetViews>
  <sheetFormatPr defaultColWidth="9.140625" defaultRowHeight="12.75"/>
  <cols>
    <col min="1" max="1" width="11.7109375" style="1" customWidth="1"/>
    <col min="2" max="2" width="70.7109375" style="2" customWidth="1"/>
    <col min="3" max="3" width="8.57421875" style="2" customWidth="1"/>
    <col min="4" max="4" width="10.28125" style="3" customWidth="1"/>
    <col min="5" max="5" width="16.421875" style="3" customWidth="1"/>
    <col min="6" max="6" width="21.421875" style="3" customWidth="1"/>
    <col min="7" max="7" width="2.7109375" style="95" customWidth="1"/>
    <col min="8" max="8" width="12.7109375" style="96" customWidth="1"/>
    <col min="9" max="9" width="12.7109375" style="97" customWidth="1"/>
    <col min="10" max="16384" width="9.140625" style="3" customWidth="1"/>
  </cols>
  <sheetData>
    <row r="1" spans="1:9" ht="12.75">
      <c r="A1" s="4"/>
      <c r="B1" s="5"/>
      <c r="C1" s="6"/>
      <c r="D1" s="7"/>
      <c r="E1" s="7"/>
      <c r="F1" s="8"/>
      <c r="H1" s="98"/>
      <c r="I1" s="99"/>
    </row>
    <row r="2" spans="1:6" ht="12.75">
      <c r="A2" s="9"/>
      <c r="B2" s="10"/>
      <c r="C2" s="11"/>
      <c r="D2" s="12"/>
      <c r="E2" s="12"/>
      <c r="F2" s="13"/>
    </row>
    <row r="3" spans="1:6" ht="12.75">
      <c r="A3" s="9"/>
      <c r="B3" s="10"/>
      <c r="C3" s="11"/>
      <c r="D3" s="12"/>
      <c r="E3" s="12"/>
      <c r="F3" s="13"/>
    </row>
    <row r="4" spans="1:6" ht="12.75">
      <c r="A4" s="9"/>
      <c r="B4" s="10"/>
      <c r="C4" s="11"/>
      <c r="D4" s="12"/>
      <c r="E4" s="12"/>
      <c r="F4" s="13"/>
    </row>
    <row r="5" spans="1:6" ht="12.75">
      <c r="A5" s="9"/>
      <c r="B5" s="10"/>
      <c r="C5" s="11"/>
      <c r="D5" s="12"/>
      <c r="E5" s="12"/>
      <c r="F5" s="13"/>
    </row>
    <row r="6" spans="1:6" ht="12.75">
      <c r="A6" s="9"/>
      <c r="B6" s="14"/>
      <c r="C6" s="15"/>
      <c r="D6" s="16"/>
      <c r="E6" s="16"/>
      <c r="F6" s="17"/>
    </row>
    <row r="7" spans="1:6" ht="12.75">
      <c r="A7" s="18"/>
      <c r="B7" s="19"/>
      <c r="C7" s="20"/>
      <c r="D7" s="21"/>
      <c r="E7" s="21"/>
      <c r="F7" s="22"/>
    </row>
    <row r="8" spans="1:9" ht="18" customHeight="1">
      <c r="A8" s="100" t="s">
        <v>35</v>
      </c>
      <c r="B8" s="100"/>
      <c r="C8" s="100"/>
      <c r="D8" s="100"/>
      <c r="E8" s="101" t="s">
        <v>36</v>
      </c>
      <c r="F8" s="102">
        <f>LDI!C45</f>
        <v>0.2592</v>
      </c>
      <c r="H8" s="103" t="s">
        <v>37</v>
      </c>
      <c r="I8" s="103"/>
    </row>
    <row r="9" spans="1:9" ht="36">
      <c r="A9" s="104" t="s">
        <v>38</v>
      </c>
      <c r="B9" s="104" t="s">
        <v>39</v>
      </c>
      <c r="C9" s="104" t="s">
        <v>40</v>
      </c>
      <c r="D9" s="105" t="s">
        <v>41</v>
      </c>
      <c r="E9" s="106" t="s">
        <v>42</v>
      </c>
      <c r="F9" s="105" t="s">
        <v>43</v>
      </c>
      <c r="H9" s="107" t="s">
        <v>44</v>
      </c>
      <c r="I9" s="108" t="s">
        <v>45</v>
      </c>
    </row>
    <row r="10" spans="1:9" ht="12.75">
      <c r="A10" s="109">
        <v>1</v>
      </c>
      <c r="B10" s="109" t="s">
        <v>46</v>
      </c>
      <c r="C10" s="110"/>
      <c r="D10" s="111"/>
      <c r="E10" s="112"/>
      <c r="F10" s="112">
        <f>F11+F18+F24+F28</f>
        <v>132919.48</v>
      </c>
      <c r="G10" s="113"/>
      <c r="H10" s="114"/>
      <c r="I10" s="115"/>
    </row>
    <row r="11" spans="1:9" ht="12.75">
      <c r="A11" s="116" t="s">
        <v>47</v>
      </c>
      <c r="B11" s="117" t="s">
        <v>48</v>
      </c>
      <c r="C11" s="118"/>
      <c r="D11" s="119"/>
      <c r="E11" s="120"/>
      <c r="F11" s="120">
        <f>SUM(F12:F17)</f>
        <v>27869.550000000003</v>
      </c>
      <c r="H11" s="114"/>
      <c r="I11" s="115"/>
    </row>
    <row r="12" spans="1:9" s="126" customFormat="1" ht="63.75">
      <c r="A12" s="121" t="s">
        <v>49</v>
      </c>
      <c r="B12" s="122" t="s">
        <v>50</v>
      </c>
      <c r="C12" s="123" t="s">
        <v>2</v>
      </c>
      <c r="D12" s="124">
        <v>1</v>
      </c>
      <c r="E12" s="125">
        <v>4337.01</v>
      </c>
      <c r="F12" s="125">
        <f aca="true" t="shared" si="0" ref="F12:F17">ROUND(D12*E12,2)</f>
        <v>4337.01</v>
      </c>
      <c r="H12" s="114" t="s">
        <v>51</v>
      </c>
      <c r="I12" s="115" t="s">
        <v>52</v>
      </c>
    </row>
    <row r="13" spans="1:9" s="126" customFormat="1" ht="38.25">
      <c r="A13" s="121" t="s">
        <v>53</v>
      </c>
      <c r="B13" s="127" t="s">
        <v>54</v>
      </c>
      <c r="C13" s="128" t="s">
        <v>55</v>
      </c>
      <c r="D13" s="129">
        <v>4.5</v>
      </c>
      <c r="E13" s="125">
        <v>423.2</v>
      </c>
      <c r="F13" s="125">
        <f t="shared" si="0"/>
        <v>1904.4</v>
      </c>
      <c r="H13" s="114" t="s">
        <v>56</v>
      </c>
      <c r="I13" s="115" t="s">
        <v>57</v>
      </c>
    </row>
    <row r="14" spans="1:9" s="126" customFormat="1" ht="51">
      <c r="A14" s="121" t="s">
        <v>58</v>
      </c>
      <c r="B14" s="127" t="s">
        <v>59</v>
      </c>
      <c r="C14" s="130" t="s">
        <v>60</v>
      </c>
      <c r="D14" s="131">
        <v>6</v>
      </c>
      <c r="E14" s="125">
        <v>987.97</v>
      </c>
      <c r="F14" s="125">
        <f t="shared" si="0"/>
        <v>5927.82</v>
      </c>
      <c r="H14" s="114" t="s">
        <v>61</v>
      </c>
      <c r="I14" s="115" t="s">
        <v>62</v>
      </c>
    </row>
    <row r="15" spans="1:9" s="126" customFormat="1" ht="33.75">
      <c r="A15" s="121" t="s">
        <v>63</v>
      </c>
      <c r="B15" s="127" t="s">
        <v>64</v>
      </c>
      <c r="C15" s="130" t="s">
        <v>60</v>
      </c>
      <c r="D15" s="131">
        <v>6</v>
      </c>
      <c r="E15" s="125">
        <v>851.67</v>
      </c>
      <c r="F15" s="125">
        <f t="shared" si="0"/>
        <v>5110.02</v>
      </c>
      <c r="H15" s="114" t="s">
        <v>61</v>
      </c>
      <c r="I15" s="115" t="s">
        <v>65</v>
      </c>
    </row>
    <row r="16" spans="1:9" s="126" customFormat="1" ht="51">
      <c r="A16" s="121" t="s">
        <v>66</v>
      </c>
      <c r="B16" s="127" t="s">
        <v>67</v>
      </c>
      <c r="C16" s="130" t="s">
        <v>60</v>
      </c>
      <c r="D16" s="131">
        <v>6</v>
      </c>
      <c r="E16" s="125">
        <v>757.69</v>
      </c>
      <c r="F16" s="125">
        <f t="shared" si="0"/>
        <v>4546.14</v>
      </c>
      <c r="H16" s="114" t="s">
        <v>61</v>
      </c>
      <c r="I16" s="115" t="s">
        <v>68</v>
      </c>
    </row>
    <row r="17" spans="1:9" s="126" customFormat="1" ht="33.75">
      <c r="A17" s="121" t="s">
        <v>69</v>
      </c>
      <c r="B17" s="132" t="s">
        <v>70</v>
      </c>
      <c r="C17" s="130" t="s">
        <v>60</v>
      </c>
      <c r="D17" s="131">
        <v>6</v>
      </c>
      <c r="E17" s="125">
        <v>1007.36</v>
      </c>
      <c r="F17" s="125">
        <f t="shared" si="0"/>
        <v>6044.16</v>
      </c>
      <c r="H17" s="114" t="s">
        <v>61</v>
      </c>
      <c r="I17" s="115" t="s">
        <v>71</v>
      </c>
    </row>
    <row r="18" spans="1:9" ht="12.75">
      <c r="A18" s="116" t="s">
        <v>72</v>
      </c>
      <c r="B18" s="117" t="s">
        <v>73</v>
      </c>
      <c r="C18" s="118"/>
      <c r="D18" s="119"/>
      <c r="E18" s="120"/>
      <c r="F18" s="120">
        <f>SUM(F19:F23)</f>
        <v>41571.33</v>
      </c>
      <c r="H18" s="114"/>
      <c r="I18" s="115"/>
    </row>
    <row r="19" spans="1:9" s="126" customFormat="1" ht="51">
      <c r="A19" s="121" t="s">
        <v>74</v>
      </c>
      <c r="B19" s="132" t="s">
        <v>75</v>
      </c>
      <c r="C19" s="123" t="s">
        <v>55</v>
      </c>
      <c r="D19" s="131">
        <v>304</v>
      </c>
      <c r="E19" s="125">
        <v>89.49</v>
      </c>
      <c r="F19" s="125">
        <f aca="true" t="shared" si="1" ref="F19:F23">ROUND(D19*E19,2)</f>
        <v>27204.96</v>
      </c>
      <c r="H19" s="114" t="s">
        <v>51</v>
      </c>
      <c r="I19" s="115" t="s">
        <v>76</v>
      </c>
    </row>
    <row r="20" spans="1:9" s="126" customFormat="1" ht="76.5">
      <c r="A20" s="121" t="s">
        <v>77</v>
      </c>
      <c r="B20" s="132" t="s">
        <v>78</v>
      </c>
      <c r="C20" s="123" t="s">
        <v>55</v>
      </c>
      <c r="D20" s="131">
        <v>184.3</v>
      </c>
      <c r="E20" s="125">
        <v>63.11</v>
      </c>
      <c r="F20" s="125">
        <f t="shared" si="1"/>
        <v>11631.17</v>
      </c>
      <c r="H20" s="114" t="s">
        <v>51</v>
      </c>
      <c r="I20" s="115" t="s">
        <v>79</v>
      </c>
    </row>
    <row r="21" spans="1:9" s="126" customFormat="1" ht="25.5">
      <c r="A21" s="121" t="s">
        <v>80</v>
      </c>
      <c r="B21" s="122" t="s">
        <v>81</v>
      </c>
      <c r="C21" s="123" t="s">
        <v>82</v>
      </c>
      <c r="D21" s="131">
        <v>100</v>
      </c>
      <c r="E21" s="125">
        <v>11.13</v>
      </c>
      <c r="F21" s="125">
        <f t="shared" si="1"/>
        <v>1113</v>
      </c>
      <c r="H21" s="114" t="s">
        <v>56</v>
      </c>
      <c r="I21" s="115" t="s">
        <v>83</v>
      </c>
    </row>
    <row r="22" spans="1:9" s="126" customFormat="1" ht="25.5">
      <c r="A22" s="121" t="s">
        <v>84</v>
      </c>
      <c r="B22" s="132" t="s">
        <v>85</v>
      </c>
      <c r="C22" s="130" t="s">
        <v>86</v>
      </c>
      <c r="D22" s="131">
        <v>20</v>
      </c>
      <c r="E22" s="125">
        <v>70.31</v>
      </c>
      <c r="F22" s="125">
        <f t="shared" si="1"/>
        <v>1406.2</v>
      </c>
      <c r="H22" s="114" t="s">
        <v>51</v>
      </c>
      <c r="I22" s="115" t="s">
        <v>87</v>
      </c>
    </row>
    <row r="23" spans="1:9" s="126" customFormat="1" ht="12.75">
      <c r="A23" s="121" t="s">
        <v>88</v>
      </c>
      <c r="B23" s="132" t="s">
        <v>89</v>
      </c>
      <c r="C23" s="130" t="s">
        <v>82</v>
      </c>
      <c r="D23" s="131">
        <v>200</v>
      </c>
      <c r="E23" s="125">
        <v>1.08</v>
      </c>
      <c r="F23" s="125">
        <f t="shared" si="1"/>
        <v>216</v>
      </c>
      <c r="H23" s="114" t="s">
        <v>51</v>
      </c>
      <c r="I23" s="115" t="s">
        <v>90</v>
      </c>
    </row>
    <row r="24" spans="1:9" ht="12.75">
      <c r="A24" s="116" t="s">
        <v>91</v>
      </c>
      <c r="B24" s="117" t="s">
        <v>92</v>
      </c>
      <c r="C24" s="118"/>
      <c r="D24" s="119"/>
      <c r="E24" s="120"/>
      <c r="F24" s="120">
        <f>SUM(F25:F27)</f>
        <v>53825.95</v>
      </c>
      <c r="H24" s="114"/>
      <c r="I24" s="115"/>
    </row>
    <row r="25" spans="1:9" s="126" customFormat="1" ht="25.5">
      <c r="A25" s="121" t="s">
        <v>93</v>
      </c>
      <c r="B25" s="133" t="s">
        <v>94</v>
      </c>
      <c r="C25" s="134" t="s">
        <v>2</v>
      </c>
      <c r="D25" s="135">
        <v>1</v>
      </c>
      <c r="E25" s="125">
        <v>18708.6</v>
      </c>
      <c r="F25" s="125">
        <f aca="true" t="shared" si="2" ref="F25:F27">ROUND(D25*E25,2)</f>
        <v>18708.6</v>
      </c>
      <c r="H25" s="114" t="s">
        <v>51</v>
      </c>
      <c r="I25" s="115" t="s">
        <v>95</v>
      </c>
    </row>
    <row r="26" spans="1:9" s="126" customFormat="1" ht="25.5">
      <c r="A26" s="121" t="s">
        <v>96</v>
      </c>
      <c r="B26" s="133" t="s">
        <v>97</v>
      </c>
      <c r="C26" s="134" t="s">
        <v>2</v>
      </c>
      <c r="D26" s="135">
        <v>1</v>
      </c>
      <c r="E26" s="125">
        <v>32423.01</v>
      </c>
      <c r="F26" s="125">
        <f t="shared" si="2"/>
        <v>32423.01</v>
      </c>
      <c r="H26" s="114" t="s">
        <v>51</v>
      </c>
      <c r="I26" s="115" t="s">
        <v>98</v>
      </c>
    </row>
    <row r="27" spans="1:9" s="126" customFormat="1" ht="38.25">
      <c r="A27" s="121" t="s">
        <v>99</v>
      </c>
      <c r="B27" s="133" t="s">
        <v>100</v>
      </c>
      <c r="C27" s="134" t="s">
        <v>2</v>
      </c>
      <c r="D27" s="135">
        <v>1</v>
      </c>
      <c r="E27" s="125">
        <v>2694.34</v>
      </c>
      <c r="F27" s="125">
        <f t="shared" si="2"/>
        <v>2694.34</v>
      </c>
      <c r="H27" s="114" t="s">
        <v>51</v>
      </c>
      <c r="I27" s="115" t="s">
        <v>101</v>
      </c>
    </row>
    <row r="28" spans="1:9" ht="12.75">
      <c r="A28" s="116" t="s">
        <v>102</v>
      </c>
      <c r="B28" s="117" t="s">
        <v>103</v>
      </c>
      <c r="C28" s="118"/>
      <c r="D28" s="119"/>
      <c r="E28" s="120"/>
      <c r="F28" s="120">
        <f>SUM(F29:F33)</f>
        <v>9652.65</v>
      </c>
      <c r="H28" s="114"/>
      <c r="I28" s="115"/>
    </row>
    <row r="29" spans="1:9" s="126" customFormat="1" ht="140.25">
      <c r="A29" s="121" t="s">
        <v>104</v>
      </c>
      <c r="B29" s="122" t="s">
        <v>105</v>
      </c>
      <c r="C29" s="130" t="s">
        <v>86</v>
      </c>
      <c r="D29" s="131">
        <v>1</v>
      </c>
      <c r="E29" s="125">
        <v>1725.02</v>
      </c>
      <c r="F29" s="125">
        <f aca="true" t="shared" si="3" ref="F29:F33">ROUND(D29*E29,2)</f>
        <v>1725.02</v>
      </c>
      <c r="H29" s="114" t="s">
        <v>51</v>
      </c>
      <c r="I29" s="115" t="s">
        <v>106</v>
      </c>
    </row>
    <row r="30" spans="1:9" s="126" customFormat="1" ht="140.25">
      <c r="A30" s="121" t="s">
        <v>107</v>
      </c>
      <c r="B30" s="122" t="s">
        <v>108</v>
      </c>
      <c r="C30" s="130" t="s">
        <v>86</v>
      </c>
      <c r="D30" s="131">
        <v>1</v>
      </c>
      <c r="E30" s="125">
        <v>1537.62</v>
      </c>
      <c r="F30" s="125">
        <f t="shared" si="3"/>
        <v>1537.62</v>
      </c>
      <c r="H30" s="114" t="s">
        <v>51</v>
      </c>
      <c r="I30" s="115" t="s">
        <v>109</v>
      </c>
    </row>
    <row r="31" spans="1:9" s="126" customFormat="1" ht="140.25">
      <c r="A31" s="121" t="s">
        <v>110</v>
      </c>
      <c r="B31" s="122" t="s">
        <v>111</v>
      </c>
      <c r="C31" s="130" t="s">
        <v>86</v>
      </c>
      <c r="D31" s="131">
        <v>1</v>
      </c>
      <c r="E31" s="125">
        <v>1566.22</v>
      </c>
      <c r="F31" s="125">
        <f t="shared" si="3"/>
        <v>1566.22</v>
      </c>
      <c r="H31" s="114" t="s">
        <v>51</v>
      </c>
      <c r="I31" s="115" t="s">
        <v>112</v>
      </c>
    </row>
    <row r="32" spans="1:9" s="126" customFormat="1" ht="153">
      <c r="A32" s="121" t="s">
        <v>113</v>
      </c>
      <c r="B32" s="132" t="s">
        <v>114</v>
      </c>
      <c r="C32" s="130" t="s">
        <v>86</v>
      </c>
      <c r="D32" s="131">
        <v>1</v>
      </c>
      <c r="E32" s="125">
        <v>2847.89</v>
      </c>
      <c r="F32" s="125">
        <f t="shared" si="3"/>
        <v>2847.89</v>
      </c>
      <c r="H32" s="114" t="s">
        <v>51</v>
      </c>
      <c r="I32" s="115" t="s">
        <v>115</v>
      </c>
    </row>
    <row r="33" spans="1:9" s="126" customFormat="1" ht="140.25">
      <c r="A33" s="121" t="s">
        <v>116</v>
      </c>
      <c r="B33" s="136" t="s">
        <v>117</v>
      </c>
      <c r="C33" s="130" t="s">
        <v>86</v>
      </c>
      <c r="D33" s="131">
        <v>1</v>
      </c>
      <c r="E33" s="125">
        <v>1975.9</v>
      </c>
      <c r="F33" s="125">
        <f t="shared" si="3"/>
        <v>1975.9</v>
      </c>
      <c r="H33" s="114" t="s">
        <v>51</v>
      </c>
      <c r="I33" s="115" t="s">
        <v>118</v>
      </c>
    </row>
    <row r="34" spans="1:9" s="145" customFormat="1" ht="12.75">
      <c r="A34" s="137"/>
      <c r="B34" s="138"/>
      <c r="C34" s="139"/>
      <c r="D34" s="140"/>
      <c r="E34" s="141"/>
      <c r="F34" s="125"/>
      <c r="G34" s="142"/>
      <c r="H34" s="143"/>
      <c r="I34" s="144"/>
    </row>
    <row r="35" spans="1:6" ht="12.75">
      <c r="A35" s="146"/>
      <c r="B35" s="147"/>
      <c r="C35" s="147"/>
      <c r="D35" s="148"/>
      <c r="E35" s="149" t="s">
        <v>3</v>
      </c>
      <c r="F35" s="150">
        <f>F10</f>
        <v>132919.48</v>
      </c>
    </row>
    <row r="37" ht="12.75">
      <c r="F37" s="151">
        <f>IF(ROUND((SUM(F10:F33)/3),2)=F35," ","EXISTE ALGUM ERRO DE SOMATÓRIO")</f>
        <v>0</v>
      </c>
    </row>
  </sheetData>
  <sheetProtection selectLockedCells="1" selectUnlockedCells="1"/>
  <mergeCells count="2">
    <mergeCell ref="A8:D8"/>
    <mergeCell ref="H8:I8"/>
  </mergeCells>
  <conditionalFormatting sqref="B13:C13">
    <cfRule type="expression" priority="1" dxfId="0" stopIfTrue="1">
      <formula>ISERROR(B13)</formula>
    </cfRule>
  </conditionalFormatting>
  <conditionalFormatting sqref="B14:C14 B16:C17">
    <cfRule type="expression" priority="2" dxfId="0" stopIfTrue="1">
      <formula>ISERROR(B14)</formula>
    </cfRule>
  </conditionalFormatting>
  <conditionalFormatting sqref="B15:C15">
    <cfRule type="expression" priority="3" dxfId="0" stopIfTrue="1">
      <formula>ISERROR(B15)</formula>
    </cfRule>
  </conditionalFormatting>
  <conditionalFormatting sqref="B25:D27">
    <cfRule type="expression" priority="4" dxfId="0" stopIfTrue="1">
      <formula>ISERROR(B25)</formula>
    </cfRule>
  </conditionalFormatting>
  <conditionalFormatting sqref="B29">
    <cfRule type="expression" priority="5" dxfId="0" stopIfTrue="1">
      <formula>ISERROR(B29)</formula>
    </cfRule>
  </conditionalFormatting>
  <conditionalFormatting sqref="B32">
    <cfRule type="expression" priority="6" dxfId="0" stopIfTrue="1">
      <formula>ISERROR(B32)</formula>
    </cfRule>
  </conditionalFormatting>
  <conditionalFormatting sqref="B30:B31">
    <cfRule type="expression" priority="7" dxfId="0" stopIfTrue="1">
      <formula>ISERROR(B30)</formula>
    </cfRule>
  </conditionalFormatting>
  <printOptions horizontalCentered="1"/>
  <pageMargins left="0.7875" right="0.19652777777777777" top="0.39375" bottom="0.7868055555555555" header="0.5118055555555555" footer="0.19652777777777777"/>
  <pageSetup horizontalDpi="300" verticalDpi="300" orientation="portrait" paperSize="9" scale="56"/>
  <headerFooter alignWithMargins="0">
    <oddFooter>&amp;LPLANILHA A - Reforma do estacionamento, paisagismo, sistema de irrigação, adequação do SPCI e demais intervenções complementares
Campus de Timóteo do CEFET-MG&amp;RPágina &amp;P de &amp;N</oddFooter>
  </headerFooter>
  <drawing r:id="rId1"/>
</worksheet>
</file>

<file path=xl/worksheets/sheet4.xml><?xml version="1.0" encoding="utf-8"?>
<worksheet xmlns="http://schemas.openxmlformats.org/spreadsheetml/2006/main" xmlns:r="http://schemas.openxmlformats.org/officeDocument/2006/relationships">
  <sheetPr>
    <tabColor indexed="21"/>
  </sheetPr>
  <dimension ref="A1:IV150"/>
  <sheetViews>
    <sheetView view="pageBreakPreview" zoomScaleSheetLayoutView="100" workbookViewId="0" topLeftCell="A1">
      <pane ySplit="9" topLeftCell="A10" activePane="bottomLeft" state="frozen"/>
      <selection pane="topLeft" activeCell="A1" sqref="A1"/>
      <selection pane="bottomLeft" activeCell="A9" sqref="A9"/>
    </sheetView>
  </sheetViews>
  <sheetFormatPr defaultColWidth="9.140625" defaultRowHeight="12.75"/>
  <cols>
    <col min="1" max="1" width="11.7109375" style="1" customWidth="1"/>
    <col min="2" max="2" width="70.7109375" style="2" customWidth="1"/>
    <col min="3" max="3" width="8.57421875" style="2" customWidth="1"/>
    <col min="4" max="4" width="10.28125" style="3" customWidth="1"/>
    <col min="5" max="5" width="16.421875" style="3" customWidth="1"/>
    <col min="6" max="6" width="21.421875" style="3" customWidth="1"/>
    <col min="7" max="7" width="2.7109375" style="95" customWidth="1"/>
    <col min="8" max="8" width="12.7109375" style="96" customWidth="1"/>
    <col min="9" max="9" width="12.7109375" style="97" customWidth="1"/>
    <col min="10" max="16384" width="9.140625" style="3" customWidth="1"/>
  </cols>
  <sheetData>
    <row r="1" spans="1:9" ht="12.75">
      <c r="A1" s="4"/>
      <c r="B1" s="5"/>
      <c r="C1" s="6"/>
      <c r="D1" s="7"/>
      <c r="E1" s="7"/>
      <c r="F1" s="8"/>
      <c r="H1" s="98"/>
      <c r="I1" s="99"/>
    </row>
    <row r="2" spans="1:6" ht="12.75">
      <c r="A2" s="9"/>
      <c r="B2" s="10"/>
      <c r="C2" s="11"/>
      <c r="D2" s="12"/>
      <c r="E2" s="12"/>
      <c r="F2" s="13"/>
    </row>
    <row r="3" spans="1:6" ht="12.75">
      <c r="A3" s="9"/>
      <c r="B3" s="10"/>
      <c r="C3" s="11"/>
      <c r="D3" s="12"/>
      <c r="E3" s="12"/>
      <c r="F3" s="13"/>
    </row>
    <row r="4" spans="1:6" ht="12.75">
      <c r="A4" s="9"/>
      <c r="B4" s="10"/>
      <c r="C4" s="11"/>
      <c r="D4" s="12"/>
      <c r="E4" s="12"/>
      <c r="F4" s="13"/>
    </row>
    <row r="5" spans="1:6" ht="12.75">
      <c r="A5" s="9"/>
      <c r="B5" s="10"/>
      <c r="C5" s="11"/>
      <c r="D5" s="12"/>
      <c r="E5" s="12"/>
      <c r="F5" s="13"/>
    </row>
    <row r="6" spans="1:6" ht="12.75">
      <c r="A6" s="9"/>
      <c r="B6" s="14"/>
      <c r="C6" s="15"/>
      <c r="D6" s="16"/>
      <c r="E6" s="16"/>
      <c r="F6" s="17"/>
    </row>
    <row r="7" spans="1:6" ht="12.75">
      <c r="A7" s="18"/>
      <c r="B7" s="19"/>
      <c r="C7" s="20"/>
      <c r="D7" s="21"/>
      <c r="E7" s="21"/>
      <c r="F7" s="22"/>
    </row>
    <row r="8" spans="1:9" ht="18" customHeight="1">
      <c r="A8" s="100" t="s">
        <v>119</v>
      </c>
      <c r="B8" s="100"/>
      <c r="C8" s="100"/>
      <c r="D8" s="100"/>
      <c r="E8" s="101" t="s">
        <v>36</v>
      </c>
      <c r="F8" s="102">
        <f>LDI!C45</f>
        <v>0.2592</v>
      </c>
      <c r="H8" s="103" t="s">
        <v>37</v>
      </c>
      <c r="I8" s="103"/>
    </row>
    <row r="9" spans="1:9" ht="36">
      <c r="A9" s="104" t="s">
        <v>38</v>
      </c>
      <c r="B9" s="104" t="s">
        <v>39</v>
      </c>
      <c r="C9" s="104" t="s">
        <v>40</v>
      </c>
      <c r="D9" s="105" t="s">
        <v>41</v>
      </c>
      <c r="E9" s="106" t="s">
        <v>42</v>
      </c>
      <c r="F9" s="105" t="s">
        <v>43</v>
      </c>
      <c r="H9" s="107" t="s">
        <v>44</v>
      </c>
      <c r="I9" s="108" t="s">
        <v>45</v>
      </c>
    </row>
    <row r="10" spans="1:9" ht="25.5">
      <c r="A10" s="109">
        <v>1</v>
      </c>
      <c r="B10" s="152" t="s">
        <v>120</v>
      </c>
      <c r="C10" s="110"/>
      <c r="D10" s="111"/>
      <c r="E10" s="112"/>
      <c r="F10" s="112">
        <f>F11+F18+F20</f>
        <v>49166.78</v>
      </c>
      <c r="G10" s="113"/>
      <c r="H10" s="114"/>
      <c r="I10" s="115"/>
    </row>
    <row r="11" spans="1:9" ht="12.75">
      <c r="A11" s="116" t="s">
        <v>47</v>
      </c>
      <c r="B11" s="117" t="s">
        <v>121</v>
      </c>
      <c r="C11" s="118"/>
      <c r="D11" s="119"/>
      <c r="E11" s="120"/>
      <c r="F11" s="120">
        <f>SUM(F12:F17)</f>
        <v>33294.11</v>
      </c>
      <c r="H11" s="114"/>
      <c r="I11" s="115"/>
    </row>
    <row r="12" spans="1:9" s="126" customFormat="1" ht="33.75">
      <c r="A12" s="121" t="s">
        <v>49</v>
      </c>
      <c r="B12" s="132" t="s">
        <v>122</v>
      </c>
      <c r="C12" s="123" t="s">
        <v>82</v>
      </c>
      <c r="D12" s="131">
        <v>235</v>
      </c>
      <c r="E12" s="125">
        <v>11.35</v>
      </c>
      <c r="F12" s="125">
        <f aca="true" t="shared" si="0" ref="F12:F17">ROUND(D12*E12,2)</f>
        <v>2667.25</v>
      </c>
      <c r="H12" s="114" t="s">
        <v>61</v>
      </c>
      <c r="I12" s="115" t="s">
        <v>123</v>
      </c>
    </row>
    <row r="13" spans="1:9" s="126" customFormat="1" ht="25.5">
      <c r="A13" s="121" t="s">
        <v>53</v>
      </c>
      <c r="B13" s="132" t="s">
        <v>124</v>
      </c>
      <c r="C13" s="130" t="s">
        <v>55</v>
      </c>
      <c r="D13" s="131">
        <v>2205</v>
      </c>
      <c r="E13" s="125">
        <v>13.2</v>
      </c>
      <c r="F13" s="125">
        <f t="shared" si="0"/>
        <v>29106</v>
      </c>
      <c r="H13" s="114" t="s">
        <v>125</v>
      </c>
      <c r="I13" s="115">
        <v>97635</v>
      </c>
    </row>
    <row r="14" spans="1:9" s="126" customFormat="1" ht="33.75">
      <c r="A14" s="121" t="s">
        <v>58</v>
      </c>
      <c r="B14" s="122" t="s">
        <v>126</v>
      </c>
      <c r="C14" s="123" t="s">
        <v>55</v>
      </c>
      <c r="D14" s="131">
        <v>50</v>
      </c>
      <c r="E14" s="125">
        <v>18.17</v>
      </c>
      <c r="F14" s="125">
        <f t="shared" si="0"/>
        <v>908.5</v>
      </c>
      <c r="H14" s="114" t="s">
        <v>61</v>
      </c>
      <c r="I14" s="115" t="s">
        <v>127</v>
      </c>
    </row>
    <row r="15" spans="1:9" s="126" customFormat="1" ht="25.5">
      <c r="A15" s="121" t="s">
        <v>63</v>
      </c>
      <c r="B15" s="122" t="s">
        <v>128</v>
      </c>
      <c r="C15" s="123" t="s">
        <v>129</v>
      </c>
      <c r="D15" s="131">
        <v>5</v>
      </c>
      <c r="E15" s="125">
        <v>81.65</v>
      </c>
      <c r="F15" s="125">
        <f t="shared" si="0"/>
        <v>408.25</v>
      </c>
      <c r="H15" s="114" t="s">
        <v>51</v>
      </c>
      <c r="I15" s="115" t="s">
        <v>130</v>
      </c>
    </row>
    <row r="16" spans="1:9" s="126" customFormat="1" ht="12.75">
      <c r="A16" s="121" t="s">
        <v>66</v>
      </c>
      <c r="B16" s="122" t="s">
        <v>131</v>
      </c>
      <c r="C16" s="123" t="s">
        <v>129</v>
      </c>
      <c r="D16" s="131">
        <v>1</v>
      </c>
      <c r="E16" s="125">
        <v>40.82</v>
      </c>
      <c r="F16" s="125">
        <f t="shared" si="0"/>
        <v>40.82</v>
      </c>
      <c r="H16" s="114" t="s">
        <v>51</v>
      </c>
      <c r="I16" s="115" t="s">
        <v>132</v>
      </c>
    </row>
    <row r="17" spans="1:9" s="126" customFormat="1" ht="25.5">
      <c r="A17" s="121" t="s">
        <v>69</v>
      </c>
      <c r="B17" s="122" t="s">
        <v>133</v>
      </c>
      <c r="C17" s="123" t="s">
        <v>129</v>
      </c>
      <c r="D17" s="131">
        <v>1</v>
      </c>
      <c r="E17" s="125">
        <v>163.29</v>
      </c>
      <c r="F17" s="125">
        <f t="shared" si="0"/>
        <v>163.29</v>
      </c>
      <c r="H17" s="114" t="s">
        <v>51</v>
      </c>
      <c r="I17" s="115" t="s">
        <v>134</v>
      </c>
    </row>
    <row r="18" spans="1:9" ht="12.75">
      <c r="A18" s="116" t="s">
        <v>72</v>
      </c>
      <c r="B18" s="117" t="s">
        <v>135</v>
      </c>
      <c r="C18" s="118"/>
      <c r="D18" s="119"/>
      <c r="E18" s="120"/>
      <c r="F18" s="120">
        <f>SUM(F19:F19)</f>
        <v>1147.38</v>
      </c>
      <c r="H18" s="114"/>
      <c r="I18" s="115"/>
    </row>
    <row r="19" spans="1:9" s="126" customFormat="1" ht="25.5">
      <c r="A19" s="121" t="s">
        <v>74</v>
      </c>
      <c r="B19" s="132" t="s">
        <v>136</v>
      </c>
      <c r="C19" s="130" t="s">
        <v>86</v>
      </c>
      <c r="D19" s="131">
        <v>1</v>
      </c>
      <c r="E19" s="125">
        <v>1147.38</v>
      </c>
      <c r="F19" s="125">
        <f>ROUND(D19*E19,2)</f>
        <v>1147.38</v>
      </c>
      <c r="H19" s="114" t="s">
        <v>51</v>
      </c>
      <c r="I19" s="115" t="s">
        <v>137</v>
      </c>
    </row>
    <row r="20" spans="1:9" ht="12.75">
      <c r="A20" s="116" t="s">
        <v>91</v>
      </c>
      <c r="B20" s="117" t="s">
        <v>138</v>
      </c>
      <c r="C20" s="118"/>
      <c r="D20" s="119"/>
      <c r="E20" s="120"/>
      <c r="F20" s="120">
        <f>SUM(F21:F25)</f>
        <v>14725.29</v>
      </c>
      <c r="H20" s="114"/>
      <c r="I20" s="115"/>
    </row>
    <row r="21" spans="1:9" s="126" customFormat="1" ht="25.5">
      <c r="A21" s="121" t="s">
        <v>93</v>
      </c>
      <c r="B21" s="132" t="s">
        <v>139</v>
      </c>
      <c r="C21" s="130" t="s">
        <v>86</v>
      </c>
      <c r="D21" s="131">
        <v>1</v>
      </c>
      <c r="E21" s="125">
        <v>2659.43</v>
      </c>
      <c r="F21" s="125">
        <f aca="true" t="shared" si="1" ref="F21:F25">ROUND(D21*E21,2)</f>
        <v>2659.43</v>
      </c>
      <c r="H21" s="114" t="s">
        <v>51</v>
      </c>
      <c r="I21" s="115" t="s">
        <v>140</v>
      </c>
    </row>
    <row r="22" spans="1:9" s="126" customFormat="1" ht="38.25">
      <c r="A22" s="121" t="s">
        <v>96</v>
      </c>
      <c r="B22" s="132" t="s">
        <v>141</v>
      </c>
      <c r="C22" s="130" t="s">
        <v>142</v>
      </c>
      <c r="D22" s="131">
        <v>367.2</v>
      </c>
      <c r="E22" s="125">
        <v>22.97</v>
      </c>
      <c r="F22" s="125">
        <f t="shared" si="1"/>
        <v>8434.58</v>
      </c>
      <c r="H22" s="114" t="s">
        <v>125</v>
      </c>
      <c r="I22" s="115">
        <v>101129</v>
      </c>
    </row>
    <row r="23" spans="1:9" s="126" customFormat="1" ht="25.5">
      <c r="A23" s="121" t="s">
        <v>99</v>
      </c>
      <c r="B23" s="132" t="s">
        <v>143</v>
      </c>
      <c r="C23" s="130" t="s">
        <v>142</v>
      </c>
      <c r="D23" s="131">
        <v>68</v>
      </c>
      <c r="E23" s="125">
        <v>13.12</v>
      </c>
      <c r="F23" s="125">
        <f t="shared" si="1"/>
        <v>892.16</v>
      </c>
      <c r="H23" s="114" t="s">
        <v>125</v>
      </c>
      <c r="I23" s="115">
        <v>96385</v>
      </c>
    </row>
    <row r="24" spans="1:9" s="126" customFormat="1" ht="76.5">
      <c r="A24" s="121" t="s">
        <v>144</v>
      </c>
      <c r="B24" s="132" t="s">
        <v>145</v>
      </c>
      <c r="C24" s="130" t="s">
        <v>129</v>
      </c>
      <c r="D24" s="131">
        <v>2</v>
      </c>
      <c r="E24" s="125">
        <v>502.76</v>
      </c>
      <c r="F24" s="125">
        <f t="shared" si="1"/>
        <v>1005.52</v>
      </c>
      <c r="H24" s="114" t="s">
        <v>51</v>
      </c>
      <c r="I24" s="115" t="s">
        <v>146</v>
      </c>
    </row>
    <row r="25" spans="1:9" s="126" customFormat="1" ht="51">
      <c r="A25" s="121" t="s">
        <v>147</v>
      </c>
      <c r="B25" s="132" t="s">
        <v>148</v>
      </c>
      <c r="C25" s="130" t="s">
        <v>129</v>
      </c>
      <c r="D25" s="131">
        <v>2</v>
      </c>
      <c r="E25" s="125">
        <v>866.8</v>
      </c>
      <c r="F25" s="125">
        <f t="shared" si="1"/>
        <v>1733.6</v>
      </c>
      <c r="H25" s="114" t="s">
        <v>61</v>
      </c>
      <c r="I25" s="115" t="s">
        <v>149</v>
      </c>
    </row>
    <row r="26" spans="1:9" ht="12.75">
      <c r="A26" s="109">
        <v>2</v>
      </c>
      <c r="B26" s="109" t="s">
        <v>150</v>
      </c>
      <c r="C26" s="110"/>
      <c r="D26" s="111"/>
      <c r="E26" s="112"/>
      <c r="F26" s="112">
        <f>F27+F32+F60+F64+F72+F79+F83</f>
        <v>654587.07</v>
      </c>
      <c r="G26" s="113"/>
      <c r="H26" s="114"/>
      <c r="I26" s="115"/>
    </row>
    <row r="27" spans="1:9" ht="12.75">
      <c r="A27" s="116" t="s">
        <v>151</v>
      </c>
      <c r="B27" s="117" t="s">
        <v>152</v>
      </c>
      <c r="C27" s="118"/>
      <c r="D27" s="119"/>
      <c r="E27" s="120"/>
      <c r="F27" s="120">
        <f>SUM(F28:F31)</f>
        <v>293172.35</v>
      </c>
      <c r="H27" s="114"/>
      <c r="I27" s="115"/>
    </row>
    <row r="28" spans="1:9" s="126" customFormat="1" ht="22.5">
      <c r="A28" s="121" t="s">
        <v>153</v>
      </c>
      <c r="B28" s="122" t="s">
        <v>154</v>
      </c>
      <c r="C28" s="123" t="s">
        <v>55</v>
      </c>
      <c r="D28" s="131">
        <v>1804.42</v>
      </c>
      <c r="E28" s="125">
        <v>2.78</v>
      </c>
      <c r="F28" s="125">
        <f aca="true" t="shared" si="2" ref="F28:F31">ROUND(D28*E28,2)</f>
        <v>5016.29</v>
      </c>
      <c r="H28" s="114" t="s">
        <v>125</v>
      </c>
      <c r="I28" s="115">
        <v>100576</v>
      </c>
    </row>
    <row r="29" spans="1:9" s="126" customFormat="1" ht="38.25">
      <c r="A29" s="121" t="s">
        <v>155</v>
      </c>
      <c r="B29" s="132" t="s">
        <v>156</v>
      </c>
      <c r="C29" s="130" t="s">
        <v>82</v>
      </c>
      <c r="D29" s="131">
        <v>638.05</v>
      </c>
      <c r="E29" s="125">
        <v>102.96</v>
      </c>
      <c r="F29" s="125">
        <f t="shared" si="2"/>
        <v>65693.63</v>
      </c>
      <c r="H29" s="114" t="s">
        <v>51</v>
      </c>
      <c r="I29" s="115" t="s">
        <v>157</v>
      </c>
    </row>
    <row r="30" spans="1:9" s="126" customFormat="1" ht="25.5">
      <c r="A30" s="121" t="s">
        <v>158</v>
      </c>
      <c r="B30" s="122" t="s">
        <v>159</v>
      </c>
      <c r="C30" s="123" t="s">
        <v>142</v>
      </c>
      <c r="D30" s="131">
        <v>270.663</v>
      </c>
      <c r="E30" s="125">
        <v>228.05</v>
      </c>
      <c r="F30" s="125">
        <f t="shared" si="2"/>
        <v>61724.7</v>
      </c>
      <c r="H30" s="114" t="s">
        <v>51</v>
      </c>
      <c r="I30" s="115" t="s">
        <v>160</v>
      </c>
    </row>
    <row r="31" spans="1:9" s="126" customFormat="1" ht="38.25">
      <c r="A31" s="121" t="s">
        <v>161</v>
      </c>
      <c r="B31" s="122" t="s">
        <v>162</v>
      </c>
      <c r="C31" s="123" t="s">
        <v>55</v>
      </c>
      <c r="D31" s="131">
        <v>1804.42</v>
      </c>
      <c r="E31" s="125">
        <v>89.08</v>
      </c>
      <c r="F31" s="125">
        <f t="shared" si="2"/>
        <v>160737.73</v>
      </c>
      <c r="H31" s="114" t="s">
        <v>125</v>
      </c>
      <c r="I31" s="115">
        <v>92404</v>
      </c>
    </row>
    <row r="32" spans="1:9" ht="12.75">
      <c r="A32" s="116" t="s">
        <v>163</v>
      </c>
      <c r="B32" s="117" t="s">
        <v>164</v>
      </c>
      <c r="C32" s="118"/>
      <c r="D32" s="119"/>
      <c r="E32" s="120"/>
      <c r="F32" s="120">
        <f>SUM(F33:F59)</f>
        <v>245750.46</v>
      </c>
      <c r="H32" s="114"/>
      <c r="I32" s="115"/>
    </row>
    <row r="33" spans="1:9" s="126" customFormat="1" ht="12.75">
      <c r="A33" s="121"/>
      <c r="B33" s="153" t="s">
        <v>165</v>
      </c>
      <c r="C33" s="123"/>
      <c r="D33" s="154"/>
      <c r="E33" s="155"/>
      <c r="F33" s="155"/>
      <c r="H33" s="114"/>
      <c r="I33" s="115"/>
    </row>
    <row r="34" spans="1:9" s="126" customFormat="1" ht="12.75">
      <c r="A34" s="121" t="s">
        <v>166</v>
      </c>
      <c r="B34" s="133" t="s">
        <v>167</v>
      </c>
      <c r="C34" s="134" t="s">
        <v>142</v>
      </c>
      <c r="D34" s="131">
        <v>63.530249999999995</v>
      </c>
      <c r="E34" s="125">
        <v>37.7</v>
      </c>
      <c r="F34" s="125">
        <f aca="true" t="shared" si="3" ref="F34:F43">ROUND(D34*E34,2)</f>
        <v>2395.09</v>
      </c>
      <c r="H34" s="114" t="s">
        <v>51</v>
      </c>
      <c r="I34" s="115" t="s">
        <v>168</v>
      </c>
    </row>
    <row r="35" spans="1:9" s="126" customFormat="1" ht="22.5">
      <c r="A35" s="121" t="s">
        <v>169</v>
      </c>
      <c r="B35" s="122" t="s">
        <v>170</v>
      </c>
      <c r="C35" s="123" t="s">
        <v>55</v>
      </c>
      <c r="D35" s="131">
        <v>117.21499999999999</v>
      </c>
      <c r="E35" s="125">
        <v>6.22</v>
      </c>
      <c r="F35" s="125">
        <f t="shared" si="3"/>
        <v>729.08</v>
      </c>
      <c r="H35" s="114" t="s">
        <v>125</v>
      </c>
      <c r="I35" s="115">
        <v>101616</v>
      </c>
    </row>
    <row r="36" spans="1:9" s="126" customFormat="1" ht="25.5">
      <c r="A36" s="121" t="s">
        <v>171</v>
      </c>
      <c r="B36" s="132" t="s">
        <v>172</v>
      </c>
      <c r="C36" s="130" t="s">
        <v>142</v>
      </c>
      <c r="D36" s="131">
        <v>3.5164499999999994</v>
      </c>
      <c r="E36" s="125">
        <v>664.69</v>
      </c>
      <c r="F36" s="125">
        <f t="shared" si="3"/>
        <v>2337.35</v>
      </c>
      <c r="H36" s="114" t="s">
        <v>56</v>
      </c>
      <c r="I36" s="115" t="s">
        <v>173</v>
      </c>
    </row>
    <row r="37" spans="1:9" s="126" customFormat="1" ht="63.75">
      <c r="A37" s="121" t="s">
        <v>174</v>
      </c>
      <c r="B37" s="122" t="s">
        <v>175</v>
      </c>
      <c r="C37" s="123" t="s">
        <v>55</v>
      </c>
      <c r="D37" s="131">
        <v>147.475</v>
      </c>
      <c r="E37" s="125">
        <v>108.9</v>
      </c>
      <c r="F37" s="125">
        <f t="shared" si="3"/>
        <v>16060.03</v>
      </c>
      <c r="H37" s="114" t="s">
        <v>125</v>
      </c>
      <c r="I37" s="115">
        <v>96536</v>
      </c>
    </row>
    <row r="38" spans="1:9" s="126" customFormat="1" ht="51">
      <c r="A38" s="121" t="s">
        <v>176</v>
      </c>
      <c r="B38" s="122" t="s">
        <v>177</v>
      </c>
      <c r="C38" s="123" t="s">
        <v>178</v>
      </c>
      <c r="D38" s="131">
        <v>1892.015</v>
      </c>
      <c r="E38" s="125">
        <v>15.37</v>
      </c>
      <c r="F38" s="125">
        <f t="shared" si="3"/>
        <v>29080.27</v>
      </c>
      <c r="H38" s="114" t="s">
        <v>56</v>
      </c>
      <c r="I38" s="115" t="s">
        <v>179</v>
      </c>
    </row>
    <row r="39" spans="1:9" s="126" customFormat="1" ht="25.5">
      <c r="A39" s="121" t="s">
        <v>180</v>
      </c>
      <c r="B39" s="122" t="s">
        <v>181</v>
      </c>
      <c r="C39" s="123" t="s">
        <v>142</v>
      </c>
      <c r="D39" s="131">
        <v>22.259</v>
      </c>
      <c r="E39" s="125">
        <v>876.25</v>
      </c>
      <c r="F39" s="125">
        <f t="shared" si="3"/>
        <v>19504.45</v>
      </c>
      <c r="H39" s="114" t="s">
        <v>56</v>
      </c>
      <c r="I39" s="115" t="s">
        <v>182</v>
      </c>
    </row>
    <row r="40" spans="1:9" s="126" customFormat="1" ht="25.5">
      <c r="A40" s="121" t="s">
        <v>183</v>
      </c>
      <c r="B40" s="132" t="s">
        <v>184</v>
      </c>
      <c r="C40" s="130" t="s">
        <v>86</v>
      </c>
      <c r="D40" s="131">
        <v>28</v>
      </c>
      <c r="E40" s="125">
        <v>697.12</v>
      </c>
      <c r="F40" s="125">
        <f t="shared" si="3"/>
        <v>19519.36</v>
      </c>
      <c r="H40" s="114" t="s">
        <v>51</v>
      </c>
      <c r="I40" s="115" t="s">
        <v>185</v>
      </c>
    </row>
    <row r="41" spans="1:9" s="126" customFormat="1" ht="25.5">
      <c r="A41" s="121" t="s">
        <v>186</v>
      </c>
      <c r="B41" s="132" t="s">
        <v>187</v>
      </c>
      <c r="C41" s="130" t="s">
        <v>82</v>
      </c>
      <c r="D41" s="131">
        <v>135.3</v>
      </c>
      <c r="E41" s="125">
        <v>406.63</v>
      </c>
      <c r="F41" s="125">
        <f t="shared" si="3"/>
        <v>55017.04</v>
      </c>
      <c r="H41" s="114" t="s">
        <v>125</v>
      </c>
      <c r="I41" s="115">
        <v>103003</v>
      </c>
    </row>
    <row r="42" spans="1:9" s="126" customFormat="1" ht="25.5">
      <c r="A42" s="121" t="s">
        <v>188</v>
      </c>
      <c r="B42" s="132" t="s">
        <v>189</v>
      </c>
      <c r="C42" s="130" t="s">
        <v>82</v>
      </c>
      <c r="D42" s="131">
        <v>4.75</v>
      </c>
      <c r="E42" s="125">
        <v>291.68</v>
      </c>
      <c r="F42" s="125">
        <f t="shared" si="3"/>
        <v>1385.48</v>
      </c>
      <c r="H42" s="114" t="s">
        <v>125</v>
      </c>
      <c r="I42" s="115">
        <v>103002</v>
      </c>
    </row>
    <row r="43" spans="1:9" s="126" customFormat="1" ht="25.5">
      <c r="A43" s="121" t="s">
        <v>190</v>
      </c>
      <c r="B43" s="122" t="s">
        <v>191</v>
      </c>
      <c r="C43" s="123" t="s">
        <v>142</v>
      </c>
      <c r="D43" s="131">
        <v>37.754799999999996</v>
      </c>
      <c r="E43" s="125">
        <v>34.36</v>
      </c>
      <c r="F43" s="125">
        <f t="shared" si="3"/>
        <v>1297.25</v>
      </c>
      <c r="H43" s="114" t="s">
        <v>125</v>
      </c>
      <c r="I43" s="115">
        <v>93382</v>
      </c>
    </row>
    <row r="44" spans="1:9" s="126" customFormat="1" ht="12.75">
      <c r="A44" s="121"/>
      <c r="B44" s="153" t="s">
        <v>192</v>
      </c>
      <c r="C44" s="123"/>
      <c r="D44" s="154"/>
      <c r="E44" s="155"/>
      <c r="F44" s="155"/>
      <c r="H44" s="114"/>
      <c r="I44" s="115"/>
    </row>
    <row r="45" spans="1:9" s="126" customFormat="1" ht="51">
      <c r="A45" s="121" t="s">
        <v>193</v>
      </c>
      <c r="B45" s="156" t="s">
        <v>194</v>
      </c>
      <c r="C45" s="123" t="s">
        <v>86</v>
      </c>
      <c r="D45" s="131">
        <v>7</v>
      </c>
      <c r="E45" s="125">
        <v>3101.28</v>
      </c>
      <c r="F45" s="125">
        <f aca="true" t="shared" si="4" ref="F45:F52">ROUND(D45*E45,2)</f>
        <v>21708.96</v>
      </c>
      <c r="H45" s="114" t="s">
        <v>51</v>
      </c>
      <c r="I45" s="115" t="s">
        <v>195</v>
      </c>
    </row>
    <row r="46" spans="1:9" s="126" customFormat="1" ht="25.5">
      <c r="A46" s="121" t="s">
        <v>196</v>
      </c>
      <c r="B46" s="122" t="s">
        <v>197</v>
      </c>
      <c r="C46" s="123" t="s">
        <v>142</v>
      </c>
      <c r="D46" s="131">
        <v>194.72000000000006</v>
      </c>
      <c r="E46" s="125">
        <v>9</v>
      </c>
      <c r="F46" s="125">
        <f t="shared" si="4"/>
        <v>1752.48</v>
      </c>
      <c r="H46" s="114" t="s">
        <v>125</v>
      </c>
      <c r="I46" s="115">
        <v>90106</v>
      </c>
    </row>
    <row r="47" spans="1:9" s="126" customFormat="1" ht="25.5">
      <c r="A47" s="121" t="s">
        <v>198</v>
      </c>
      <c r="B47" s="132" t="s">
        <v>199</v>
      </c>
      <c r="C47" s="130" t="s">
        <v>55</v>
      </c>
      <c r="D47" s="131">
        <v>265.28000000000003</v>
      </c>
      <c r="E47" s="125">
        <v>29.36</v>
      </c>
      <c r="F47" s="125">
        <f t="shared" si="4"/>
        <v>7788.62</v>
      </c>
      <c r="H47" s="114" t="s">
        <v>125</v>
      </c>
      <c r="I47" s="115">
        <v>101570</v>
      </c>
    </row>
    <row r="48" spans="1:9" s="126" customFormat="1" ht="22.5">
      <c r="A48" s="121" t="s">
        <v>200</v>
      </c>
      <c r="B48" s="133" t="s">
        <v>201</v>
      </c>
      <c r="C48" s="134" t="s">
        <v>55</v>
      </c>
      <c r="D48" s="131">
        <v>174.70000000000005</v>
      </c>
      <c r="E48" s="125">
        <v>6.22</v>
      </c>
      <c r="F48" s="125">
        <f t="shared" si="4"/>
        <v>1086.63</v>
      </c>
      <c r="H48" s="114" t="s">
        <v>125</v>
      </c>
      <c r="I48" s="115">
        <v>101616</v>
      </c>
    </row>
    <row r="49" spans="1:9" s="126" customFormat="1" ht="22.5">
      <c r="A49" s="121" t="s">
        <v>202</v>
      </c>
      <c r="B49" s="122" t="s">
        <v>203</v>
      </c>
      <c r="C49" s="123" t="s">
        <v>142</v>
      </c>
      <c r="D49" s="131">
        <v>14.498000000000005</v>
      </c>
      <c r="E49" s="125">
        <v>664.69</v>
      </c>
      <c r="F49" s="125">
        <f t="shared" si="4"/>
        <v>9636.68</v>
      </c>
      <c r="H49" s="114" t="s">
        <v>56</v>
      </c>
      <c r="I49" s="115" t="s">
        <v>173</v>
      </c>
    </row>
    <row r="50" spans="1:9" s="126" customFormat="1" ht="25.5">
      <c r="A50" s="121" t="s">
        <v>204</v>
      </c>
      <c r="B50" s="133" t="s">
        <v>205</v>
      </c>
      <c r="C50" s="134" t="s">
        <v>82</v>
      </c>
      <c r="D50" s="131">
        <v>77.6</v>
      </c>
      <c r="E50" s="125">
        <v>218.9</v>
      </c>
      <c r="F50" s="125">
        <f t="shared" si="4"/>
        <v>16986.64</v>
      </c>
      <c r="H50" s="114" t="s">
        <v>125</v>
      </c>
      <c r="I50" s="115">
        <v>92210</v>
      </c>
    </row>
    <row r="51" spans="1:9" s="126" customFormat="1" ht="25.5">
      <c r="A51" s="121" t="s">
        <v>206</v>
      </c>
      <c r="B51" s="133" t="s">
        <v>207</v>
      </c>
      <c r="C51" s="134" t="s">
        <v>82</v>
      </c>
      <c r="D51" s="131">
        <v>82.9</v>
      </c>
      <c r="E51" s="125">
        <v>393.35</v>
      </c>
      <c r="F51" s="125">
        <f t="shared" si="4"/>
        <v>32608.72</v>
      </c>
      <c r="H51" s="114" t="s">
        <v>125</v>
      </c>
      <c r="I51" s="115">
        <v>92212</v>
      </c>
    </row>
    <row r="52" spans="1:9" s="126" customFormat="1" ht="25.5">
      <c r="A52" s="121" t="s">
        <v>208</v>
      </c>
      <c r="B52" s="122" t="s">
        <v>209</v>
      </c>
      <c r="C52" s="123" t="s">
        <v>142</v>
      </c>
      <c r="D52" s="131">
        <v>147.04790000000006</v>
      </c>
      <c r="E52" s="125">
        <v>22.54</v>
      </c>
      <c r="F52" s="125">
        <f t="shared" si="4"/>
        <v>3314.46</v>
      </c>
      <c r="H52" s="114" t="s">
        <v>125</v>
      </c>
      <c r="I52" s="115">
        <v>93379</v>
      </c>
    </row>
    <row r="53" spans="1:256" ht="12.75">
      <c r="A53" s="121"/>
      <c r="B53" s="153" t="s">
        <v>210</v>
      </c>
      <c r="C53" s="123"/>
      <c r="D53" s="154"/>
      <c r="E53" s="155"/>
      <c r="F53" s="155"/>
      <c r="G53" s="126"/>
      <c r="H53" s="114"/>
      <c r="I53" s="115"/>
      <c r="IM53" s="126"/>
      <c r="IN53" s="126"/>
      <c r="IO53" s="126"/>
      <c r="IP53" s="126"/>
      <c r="IQ53" s="126"/>
      <c r="IR53" s="126"/>
      <c r="IS53" s="126"/>
      <c r="IT53" s="126"/>
      <c r="IU53" s="126"/>
      <c r="IV53" s="126"/>
    </row>
    <row r="54" spans="1:9" s="126" customFormat="1" ht="22.5">
      <c r="A54" s="121" t="s">
        <v>211</v>
      </c>
      <c r="B54" s="133" t="s">
        <v>212</v>
      </c>
      <c r="C54" s="134" t="s">
        <v>142</v>
      </c>
      <c r="D54" s="131">
        <v>3.2049999999999996</v>
      </c>
      <c r="E54" s="125">
        <v>80.74</v>
      </c>
      <c r="F54" s="125">
        <f aca="true" t="shared" si="5" ref="F54:F59">ROUND(D54*E54,2)</f>
        <v>258.77</v>
      </c>
      <c r="H54" s="114" t="s">
        <v>125</v>
      </c>
      <c r="I54" s="115">
        <v>93358</v>
      </c>
    </row>
    <row r="55" spans="1:9" s="126" customFormat="1" ht="22.5">
      <c r="A55" s="121" t="s">
        <v>213</v>
      </c>
      <c r="B55" s="122" t="s">
        <v>170</v>
      </c>
      <c r="C55" s="123" t="s">
        <v>55</v>
      </c>
      <c r="D55" s="131">
        <v>15.124999999999998</v>
      </c>
      <c r="E55" s="125">
        <v>6.22</v>
      </c>
      <c r="F55" s="125">
        <f t="shared" si="5"/>
        <v>94.08</v>
      </c>
      <c r="H55" s="114" t="s">
        <v>125</v>
      </c>
      <c r="I55" s="115">
        <v>101616</v>
      </c>
    </row>
    <row r="56" spans="1:9" s="126" customFormat="1" ht="25.5">
      <c r="A56" s="121" t="s">
        <v>214</v>
      </c>
      <c r="B56" s="132" t="s">
        <v>215</v>
      </c>
      <c r="C56" s="130" t="s">
        <v>82</v>
      </c>
      <c r="D56" s="131">
        <v>41.5</v>
      </c>
      <c r="E56" s="125">
        <v>64.35</v>
      </c>
      <c r="F56" s="125">
        <f t="shared" si="5"/>
        <v>2670.53</v>
      </c>
      <c r="H56" s="114" t="s">
        <v>125</v>
      </c>
      <c r="I56" s="115">
        <v>102990</v>
      </c>
    </row>
    <row r="57" spans="1:9" s="126" customFormat="1" ht="63.75">
      <c r="A57" s="121" t="s">
        <v>216</v>
      </c>
      <c r="B57" s="122" t="s">
        <v>217</v>
      </c>
      <c r="C57" s="123" t="s">
        <v>86</v>
      </c>
      <c r="D57" s="131">
        <v>1</v>
      </c>
      <c r="E57" s="125">
        <v>321.89</v>
      </c>
      <c r="F57" s="125">
        <f t="shared" si="5"/>
        <v>321.89</v>
      </c>
      <c r="H57" s="114" t="s">
        <v>125</v>
      </c>
      <c r="I57" s="115">
        <v>99251</v>
      </c>
    </row>
    <row r="58" spans="1:9" s="126" customFormat="1" ht="33.75">
      <c r="A58" s="121" t="s">
        <v>218</v>
      </c>
      <c r="B58" s="132" t="s">
        <v>219</v>
      </c>
      <c r="C58" s="130" t="s">
        <v>82</v>
      </c>
      <c r="D58" s="131">
        <v>2</v>
      </c>
      <c r="E58" s="125">
        <v>88.6</v>
      </c>
      <c r="F58" s="125">
        <f t="shared" si="5"/>
        <v>177.2</v>
      </c>
      <c r="H58" s="114" t="s">
        <v>61</v>
      </c>
      <c r="I58" s="115" t="s">
        <v>220</v>
      </c>
    </row>
    <row r="59" spans="1:9" s="126" customFormat="1" ht="25.5">
      <c r="A59" s="121" t="s">
        <v>221</v>
      </c>
      <c r="B59" s="122" t="s">
        <v>191</v>
      </c>
      <c r="C59" s="123" t="s">
        <v>142</v>
      </c>
      <c r="D59" s="131">
        <v>0.564675</v>
      </c>
      <c r="E59" s="125">
        <v>34.36</v>
      </c>
      <c r="F59" s="125">
        <f t="shared" si="5"/>
        <v>19.4</v>
      </c>
      <c r="H59" s="114" t="s">
        <v>125</v>
      </c>
      <c r="I59" s="115">
        <v>93382</v>
      </c>
    </row>
    <row r="60" spans="1:9" ht="12.75">
      <c r="A60" s="116" t="s">
        <v>222</v>
      </c>
      <c r="B60" s="117" t="s">
        <v>223</v>
      </c>
      <c r="C60" s="118"/>
      <c r="D60" s="119"/>
      <c r="E60" s="120"/>
      <c r="F60" s="120">
        <f>SUM(F61:F63)</f>
        <v>60102.11</v>
      </c>
      <c r="H60" s="114"/>
      <c r="I60" s="115"/>
    </row>
    <row r="61" spans="1:9" s="126" customFormat="1" ht="25.5">
      <c r="A61" s="121" t="s">
        <v>224</v>
      </c>
      <c r="B61" s="122" t="s">
        <v>225</v>
      </c>
      <c r="C61" s="123" t="s">
        <v>55</v>
      </c>
      <c r="D61" s="131">
        <v>657.63</v>
      </c>
      <c r="E61" s="125">
        <v>5.1</v>
      </c>
      <c r="F61" s="125">
        <f aca="true" t="shared" si="6" ref="F61:F63">ROUND(D61*E61,2)</f>
        <v>3353.91</v>
      </c>
      <c r="H61" s="114" t="s">
        <v>56</v>
      </c>
      <c r="I61" s="115" t="s">
        <v>226</v>
      </c>
    </row>
    <row r="62" spans="1:9" s="126" customFormat="1" ht="38.25">
      <c r="A62" s="121" t="s">
        <v>227</v>
      </c>
      <c r="B62" s="132" t="s">
        <v>228</v>
      </c>
      <c r="C62" s="130" t="s">
        <v>142</v>
      </c>
      <c r="D62" s="131">
        <v>32.8815</v>
      </c>
      <c r="E62" s="125">
        <v>252.04</v>
      </c>
      <c r="F62" s="125">
        <f t="shared" si="6"/>
        <v>8287.45</v>
      </c>
      <c r="H62" s="114" t="s">
        <v>51</v>
      </c>
      <c r="I62" s="115" t="s">
        <v>229</v>
      </c>
    </row>
    <row r="63" spans="1:9" s="126" customFormat="1" ht="51">
      <c r="A63" s="121" t="s">
        <v>230</v>
      </c>
      <c r="B63" s="132" t="s">
        <v>231</v>
      </c>
      <c r="C63" s="130" t="s">
        <v>55</v>
      </c>
      <c r="D63" s="131">
        <v>657.63</v>
      </c>
      <c r="E63" s="125">
        <v>73.69</v>
      </c>
      <c r="F63" s="125">
        <f t="shared" si="6"/>
        <v>48460.75</v>
      </c>
      <c r="H63" s="114" t="s">
        <v>125</v>
      </c>
      <c r="I63" s="115">
        <v>92397</v>
      </c>
    </row>
    <row r="64" spans="1:9" ht="12.75">
      <c r="A64" s="116" t="s">
        <v>232</v>
      </c>
      <c r="B64" s="117" t="s">
        <v>233</v>
      </c>
      <c r="C64" s="118"/>
      <c r="D64" s="119"/>
      <c r="E64" s="120"/>
      <c r="F64" s="120">
        <f>SUM(F65:F71)</f>
        <v>7747.16</v>
      </c>
      <c r="H64" s="114"/>
      <c r="I64" s="115"/>
    </row>
    <row r="65" spans="1:9" s="126" customFormat="1" ht="51">
      <c r="A65" s="121" t="s">
        <v>234</v>
      </c>
      <c r="B65" s="132" t="s">
        <v>235</v>
      </c>
      <c r="C65" s="130" t="s">
        <v>86</v>
      </c>
      <c r="D65" s="131">
        <v>27</v>
      </c>
      <c r="E65" s="125">
        <v>115.02</v>
      </c>
      <c r="F65" s="125">
        <f aca="true" t="shared" si="7" ref="F65:F71">ROUND(D65*E65,2)</f>
        <v>3105.54</v>
      </c>
      <c r="H65" s="114" t="s">
        <v>51</v>
      </c>
      <c r="I65" s="115" t="s">
        <v>236</v>
      </c>
    </row>
    <row r="66" spans="1:9" s="126" customFormat="1" ht="22.5">
      <c r="A66" s="121" t="s">
        <v>237</v>
      </c>
      <c r="B66" s="133" t="s">
        <v>212</v>
      </c>
      <c r="C66" s="134" t="s">
        <v>142</v>
      </c>
      <c r="D66" s="131">
        <v>7.5</v>
      </c>
      <c r="E66" s="125">
        <v>80.74</v>
      </c>
      <c r="F66" s="125">
        <f t="shared" si="7"/>
        <v>605.55</v>
      </c>
      <c r="H66" s="114" t="s">
        <v>125</v>
      </c>
      <c r="I66" s="115">
        <v>93358</v>
      </c>
    </row>
    <row r="67" spans="1:9" s="126" customFormat="1" ht="25.5">
      <c r="A67" s="121" t="s">
        <v>238</v>
      </c>
      <c r="B67" s="132" t="s">
        <v>239</v>
      </c>
      <c r="C67" s="130" t="s">
        <v>82</v>
      </c>
      <c r="D67" s="131">
        <v>200</v>
      </c>
      <c r="E67" s="125">
        <v>13.76</v>
      </c>
      <c r="F67" s="125">
        <f t="shared" si="7"/>
        <v>2752</v>
      </c>
      <c r="H67" s="114" t="s">
        <v>51</v>
      </c>
      <c r="I67" s="115" t="s">
        <v>240</v>
      </c>
    </row>
    <row r="68" spans="1:9" s="126" customFormat="1" ht="63.75">
      <c r="A68" s="121" t="s">
        <v>241</v>
      </c>
      <c r="B68" s="122" t="s">
        <v>242</v>
      </c>
      <c r="C68" s="123" t="s">
        <v>86</v>
      </c>
      <c r="D68" s="131">
        <v>3</v>
      </c>
      <c r="E68" s="125">
        <v>269.44</v>
      </c>
      <c r="F68" s="125">
        <f t="shared" si="7"/>
        <v>808.32</v>
      </c>
      <c r="H68" s="114" t="s">
        <v>51</v>
      </c>
      <c r="I68" s="115" t="s">
        <v>243</v>
      </c>
    </row>
    <row r="69" spans="1:9" s="126" customFormat="1" ht="22.5">
      <c r="A69" s="121" t="s">
        <v>244</v>
      </c>
      <c r="B69" s="132" t="s">
        <v>245</v>
      </c>
      <c r="C69" s="130" t="s">
        <v>86</v>
      </c>
      <c r="D69" s="131">
        <v>3</v>
      </c>
      <c r="E69" s="125">
        <v>27.64</v>
      </c>
      <c r="F69" s="125">
        <f t="shared" si="7"/>
        <v>82.92</v>
      </c>
      <c r="H69" s="114" t="s">
        <v>125</v>
      </c>
      <c r="I69" s="115">
        <v>103047</v>
      </c>
    </row>
    <row r="70" spans="1:9" s="126" customFormat="1" ht="25.5">
      <c r="A70" s="121" t="s">
        <v>246</v>
      </c>
      <c r="B70" s="122" t="s">
        <v>247</v>
      </c>
      <c r="C70" s="123" t="s">
        <v>82</v>
      </c>
      <c r="D70" s="131">
        <v>18</v>
      </c>
      <c r="E70" s="125">
        <v>8.03</v>
      </c>
      <c r="F70" s="125">
        <f t="shared" si="7"/>
        <v>144.54</v>
      </c>
      <c r="H70" s="114" t="s">
        <v>56</v>
      </c>
      <c r="I70" s="115" t="s">
        <v>248</v>
      </c>
    </row>
    <row r="71" spans="1:9" s="126" customFormat="1" ht="25.5">
      <c r="A71" s="121" t="s">
        <v>249</v>
      </c>
      <c r="B71" s="122" t="s">
        <v>191</v>
      </c>
      <c r="C71" s="123" t="s">
        <v>142</v>
      </c>
      <c r="D71" s="131">
        <v>7.226192</v>
      </c>
      <c r="E71" s="125">
        <v>34.36</v>
      </c>
      <c r="F71" s="125">
        <f t="shared" si="7"/>
        <v>248.29</v>
      </c>
      <c r="H71" s="114" t="s">
        <v>125</v>
      </c>
      <c r="I71" s="115">
        <v>93382</v>
      </c>
    </row>
    <row r="72" spans="1:9" ht="12.75">
      <c r="A72" s="116" t="s">
        <v>250</v>
      </c>
      <c r="B72" s="117" t="s">
        <v>251</v>
      </c>
      <c r="C72" s="118"/>
      <c r="D72" s="119"/>
      <c r="E72" s="120"/>
      <c r="F72" s="120">
        <f>SUM(F73:F78)</f>
        <v>30584.64</v>
      </c>
      <c r="H72" s="114"/>
      <c r="I72" s="115"/>
    </row>
    <row r="73" spans="1:9" s="126" customFormat="1" ht="38.25">
      <c r="A73" s="121" t="s">
        <v>252</v>
      </c>
      <c r="B73" s="122" t="s">
        <v>253</v>
      </c>
      <c r="C73" s="123" t="s">
        <v>55</v>
      </c>
      <c r="D73" s="131">
        <v>811.9199999999998</v>
      </c>
      <c r="E73" s="125">
        <v>24.26</v>
      </c>
      <c r="F73" s="125">
        <f aca="true" t="shared" si="8" ref="F73:F78">ROUND(D73*E73,2)</f>
        <v>19697.18</v>
      </c>
      <c r="H73" s="114" t="s">
        <v>56</v>
      </c>
      <c r="I73" s="115" t="s">
        <v>254</v>
      </c>
    </row>
    <row r="74" spans="1:9" s="126" customFormat="1" ht="25.5">
      <c r="A74" s="121" t="s">
        <v>255</v>
      </c>
      <c r="B74" s="127" t="s">
        <v>256</v>
      </c>
      <c r="C74" s="128" t="s">
        <v>86</v>
      </c>
      <c r="D74" s="131">
        <v>10</v>
      </c>
      <c r="E74" s="125">
        <v>133.17</v>
      </c>
      <c r="F74" s="125">
        <f t="shared" si="8"/>
        <v>1331.7</v>
      </c>
      <c r="H74" s="114" t="s">
        <v>125</v>
      </c>
      <c r="I74" s="115">
        <v>98532</v>
      </c>
    </row>
    <row r="75" spans="1:9" s="126" customFormat="1" ht="38.25">
      <c r="A75" s="121" t="s">
        <v>257</v>
      </c>
      <c r="B75" s="127" t="s">
        <v>258</v>
      </c>
      <c r="C75" s="128" t="s">
        <v>86</v>
      </c>
      <c r="D75" s="131">
        <v>5</v>
      </c>
      <c r="E75" s="125">
        <v>355.11</v>
      </c>
      <c r="F75" s="125">
        <f t="shared" si="8"/>
        <v>1775.55</v>
      </c>
      <c r="H75" s="114" t="s">
        <v>125</v>
      </c>
      <c r="I75" s="115">
        <v>98533</v>
      </c>
    </row>
    <row r="76" spans="1:9" s="126" customFormat="1" ht="38.25">
      <c r="A76" s="121" t="s">
        <v>259</v>
      </c>
      <c r="B76" s="127" t="s">
        <v>260</v>
      </c>
      <c r="C76" s="128" t="s">
        <v>86</v>
      </c>
      <c r="D76" s="131">
        <v>2</v>
      </c>
      <c r="E76" s="125">
        <v>921.16</v>
      </c>
      <c r="F76" s="125">
        <f t="shared" si="8"/>
        <v>1842.32</v>
      </c>
      <c r="H76" s="114" t="s">
        <v>125</v>
      </c>
      <c r="I76" s="115">
        <v>98534</v>
      </c>
    </row>
    <row r="77" spans="1:9" s="126" customFormat="1" ht="25.5">
      <c r="A77" s="121" t="s">
        <v>261</v>
      </c>
      <c r="B77" s="127" t="s">
        <v>262</v>
      </c>
      <c r="C77" s="128" t="s">
        <v>86</v>
      </c>
      <c r="D77" s="131">
        <v>2</v>
      </c>
      <c r="E77" s="125">
        <v>1438.47</v>
      </c>
      <c r="F77" s="125">
        <f t="shared" si="8"/>
        <v>2876.94</v>
      </c>
      <c r="H77" s="114" t="s">
        <v>125</v>
      </c>
      <c r="I77" s="115">
        <v>98535</v>
      </c>
    </row>
    <row r="78" spans="1:9" s="126" customFormat="1" ht="25.5">
      <c r="A78" s="121" t="s">
        <v>263</v>
      </c>
      <c r="B78" s="122" t="s">
        <v>264</v>
      </c>
      <c r="C78" s="123" t="s">
        <v>86</v>
      </c>
      <c r="D78" s="131">
        <v>5</v>
      </c>
      <c r="E78" s="125">
        <v>612.19</v>
      </c>
      <c r="F78" s="125">
        <f t="shared" si="8"/>
        <v>3060.95</v>
      </c>
      <c r="H78" s="114" t="s">
        <v>51</v>
      </c>
      <c r="I78" s="115" t="s">
        <v>265</v>
      </c>
    </row>
    <row r="79" spans="1:9" ht="12.75">
      <c r="A79" s="116" t="s">
        <v>266</v>
      </c>
      <c r="B79" s="117" t="s">
        <v>267</v>
      </c>
      <c r="C79" s="118"/>
      <c r="D79" s="119"/>
      <c r="E79" s="120"/>
      <c r="F79" s="120">
        <f>SUM(F80:F82)</f>
        <v>11916.41</v>
      </c>
      <c r="H79" s="114"/>
      <c r="I79" s="115"/>
    </row>
    <row r="80" spans="1:9" s="126" customFormat="1" ht="38.25">
      <c r="A80" s="121" t="s">
        <v>268</v>
      </c>
      <c r="B80" s="132" t="s">
        <v>269</v>
      </c>
      <c r="C80" s="130" t="s">
        <v>82</v>
      </c>
      <c r="D80" s="131">
        <v>528.85</v>
      </c>
      <c r="E80" s="125">
        <v>7.18</v>
      </c>
      <c r="F80" s="125">
        <f aca="true" t="shared" si="9" ref="F80:F82">ROUND(D80*E80,2)</f>
        <v>3797.14</v>
      </c>
      <c r="H80" s="114" t="s">
        <v>125</v>
      </c>
      <c r="I80" s="115">
        <v>102507</v>
      </c>
    </row>
    <row r="81" spans="1:9" s="126" customFormat="1" ht="38.25">
      <c r="A81" s="121" t="s">
        <v>270</v>
      </c>
      <c r="B81" s="132" t="s">
        <v>271</v>
      </c>
      <c r="C81" s="130" t="s">
        <v>55</v>
      </c>
      <c r="D81" s="131">
        <v>29.26</v>
      </c>
      <c r="E81" s="125">
        <v>86.6</v>
      </c>
      <c r="F81" s="125">
        <f t="shared" si="9"/>
        <v>2533.92</v>
      </c>
      <c r="H81" s="114" t="s">
        <v>51</v>
      </c>
      <c r="I81" s="115" t="s">
        <v>272</v>
      </c>
    </row>
    <row r="82" spans="1:9" s="126" customFormat="1" ht="25.5">
      <c r="A82" s="121" t="s">
        <v>273</v>
      </c>
      <c r="B82" s="132" t="s">
        <v>274</v>
      </c>
      <c r="C82" s="130" t="s">
        <v>55</v>
      </c>
      <c r="D82" s="131">
        <v>106.55000000000001</v>
      </c>
      <c r="E82" s="125">
        <v>52.42</v>
      </c>
      <c r="F82" s="125">
        <f t="shared" si="9"/>
        <v>5585.35</v>
      </c>
      <c r="H82" s="114" t="s">
        <v>125</v>
      </c>
      <c r="I82" s="115">
        <v>102508</v>
      </c>
    </row>
    <row r="83" spans="1:9" ht="12.75">
      <c r="A83" s="116" t="s">
        <v>275</v>
      </c>
      <c r="B83" s="117" t="s">
        <v>276</v>
      </c>
      <c r="C83" s="118"/>
      <c r="D83" s="119"/>
      <c r="E83" s="120"/>
      <c r="F83" s="120">
        <f>SUM(F84:F89)</f>
        <v>5313.9400000000005</v>
      </c>
      <c r="H83" s="114"/>
      <c r="I83" s="115"/>
    </row>
    <row r="84" spans="1:9" s="126" customFormat="1" ht="12.75">
      <c r="A84" s="157"/>
      <c r="B84" s="158" t="s">
        <v>277</v>
      </c>
      <c r="C84" s="130"/>
      <c r="D84" s="131"/>
      <c r="E84" s="125"/>
      <c r="F84" s="125"/>
      <c r="H84" s="114"/>
      <c r="I84" s="115"/>
    </row>
    <row r="85" spans="1:9" s="126" customFormat="1" ht="51">
      <c r="A85" s="157" t="s">
        <v>278</v>
      </c>
      <c r="B85" s="132" t="s">
        <v>279</v>
      </c>
      <c r="C85" s="130" t="s">
        <v>82</v>
      </c>
      <c r="D85" s="131">
        <v>9</v>
      </c>
      <c r="E85" s="125">
        <v>172.66</v>
      </c>
      <c r="F85" s="125">
        <f aca="true" t="shared" si="10" ref="F85:F86">ROUND(D85*E85,2)</f>
        <v>1553.94</v>
      </c>
      <c r="H85" s="114" t="s">
        <v>125</v>
      </c>
      <c r="I85" s="115">
        <v>101176</v>
      </c>
    </row>
    <row r="86" spans="1:9" s="126" customFormat="1" ht="25.5">
      <c r="A86" s="157" t="s">
        <v>280</v>
      </c>
      <c r="B86" s="132" t="s">
        <v>281</v>
      </c>
      <c r="C86" s="130" t="s">
        <v>86</v>
      </c>
      <c r="D86" s="131">
        <v>6</v>
      </c>
      <c r="E86" s="125">
        <v>250.03</v>
      </c>
      <c r="F86" s="125">
        <f t="shared" si="10"/>
        <v>1500.18</v>
      </c>
      <c r="H86" s="114" t="s">
        <v>51</v>
      </c>
      <c r="I86" s="115" t="s">
        <v>282</v>
      </c>
    </row>
    <row r="87" spans="1:9" s="126" customFormat="1" ht="12.75">
      <c r="A87" s="157"/>
      <c r="B87" s="158" t="s">
        <v>283</v>
      </c>
      <c r="C87" s="130"/>
      <c r="D87" s="131"/>
      <c r="E87" s="125"/>
      <c r="F87" s="125"/>
      <c r="H87" s="114"/>
      <c r="I87" s="115"/>
    </row>
    <row r="88" spans="1:9" s="126" customFormat="1" ht="12.75">
      <c r="A88" s="157" t="s">
        <v>284</v>
      </c>
      <c r="B88" s="132" t="s">
        <v>285</v>
      </c>
      <c r="C88" s="130" t="s">
        <v>129</v>
      </c>
      <c r="D88" s="131">
        <v>1</v>
      </c>
      <c r="E88" s="125">
        <v>194.32</v>
      </c>
      <c r="F88" s="125">
        <f aca="true" t="shared" si="11" ref="F88:F89">ROUND(D88*E88,2)</f>
        <v>194.32</v>
      </c>
      <c r="H88" s="114" t="s">
        <v>51</v>
      </c>
      <c r="I88" s="115" t="s">
        <v>286</v>
      </c>
    </row>
    <row r="89" spans="1:9" s="126" customFormat="1" ht="38.25">
      <c r="A89" s="157" t="s">
        <v>287</v>
      </c>
      <c r="B89" s="132" t="s">
        <v>288</v>
      </c>
      <c r="C89" s="130" t="s">
        <v>55</v>
      </c>
      <c r="D89" s="131">
        <v>50</v>
      </c>
      <c r="E89" s="125">
        <v>41.31</v>
      </c>
      <c r="F89" s="125">
        <f t="shared" si="11"/>
        <v>2065.5</v>
      </c>
      <c r="H89" s="114" t="s">
        <v>51</v>
      </c>
      <c r="I89" s="115" t="s">
        <v>289</v>
      </c>
    </row>
    <row r="90" spans="1:9" ht="12.75">
      <c r="A90" s="109">
        <v>3</v>
      </c>
      <c r="B90" s="109" t="s">
        <v>290</v>
      </c>
      <c r="C90" s="110"/>
      <c r="D90" s="111"/>
      <c r="E90" s="112"/>
      <c r="F90" s="112">
        <f>F91+F106+F109+F112+F116+F124</f>
        <v>240168.54</v>
      </c>
      <c r="G90" s="113"/>
      <c r="H90" s="114"/>
      <c r="I90" s="115"/>
    </row>
    <row r="91" spans="1:9" ht="12.75">
      <c r="A91" s="116" t="s">
        <v>291</v>
      </c>
      <c r="B91" s="117" t="s">
        <v>292</v>
      </c>
      <c r="C91" s="118"/>
      <c r="D91" s="119"/>
      <c r="E91" s="120"/>
      <c r="F91" s="120">
        <f>SUM(F92:F105)</f>
        <v>103175.1</v>
      </c>
      <c r="H91" s="114"/>
      <c r="I91" s="115"/>
    </row>
    <row r="92" spans="1:256" ht="12.75">
      <c r="A92" s="121"/>
      <c r="B92" s="153" t="s">
        <v>293</v>
      </c>
      <c r="C92" s="123"/>
      <c r="D92" s="154"/>
      <c r="E92" s="155"/>
      <c r="F92" s="155"/>
      <c r="G92" s="126"/>
      <c r="H92" s="114"/>
      <c r="I92" s="115"/>
      <c r="IM92" s="126"/>
      <c r="IN92" s="126"/>
      <c r="IO92" s="126"/>
      <c r="IP92" s="126"/>
      <c r="IQ92" s="126"/>
      <c r="IR92" s="126"/>
      <c r="IS92" s="126"/>
      <c r="IT92" s="126"/>
      <c r="IU92" s="126"/>
      <c r="IV92" s="126"/>
    </row>
    <row r="93" spans="1:9" s="126" customFormat="1" ht="22.5">
      <c r="A93" s="121" t="s">
        <v>294</v>
      </c>
      <c r="B93" s="133" t="s">
        <v>212</v>
      </c>
      <c r="C93" s="134" t="s">
        <v>142</v>
      </c>
      <c r="D93" s="131">
        <v>137.76</v>
      </c>
      <c r="E93" s="125">
        <v>80.74</v>
      </c>
      <c r="F93" s="125">
        <f aca="true" t="shared" si="12" ref="F93:F96">ROUND(D93*E93,2)</f>
        <v>11122.74</v>
      </c>
      <c r="H93" s="114" t="s">
        <v>125</v>
      </c>
      <c r="I93" s="115">
        <v>93358</v>
      </c>
    </row>
    <row r="94" spans="1:9" s="126" customFormat="1" ht="102">
      <c r="A94" s="121" t="s">
        <v>295</v>
      </c>
      <c r="B94" s="122" t="s">
        <v>296</v>
      </c>
      <c r="C94" s="123" t="s">
        <v>82</v>
      </c>
      <c r="D94" s="131">
        <v>574</v>
      </c>
      <c r="E94" s="125">
        <v>15.63</v>
      </c>
      <c r="F94" s="125">
        <f t="shared" si="12"/>
        <v>8971.62</v>
      </c>
      <c r="H94" s="114" t="s">
        <v>125</v>
      </c>
      <c r="I94" s="115">
        <v>97668</v>
      </c>
    </row>
    <row r="95" spans="1:9" s="126" customFormat="1" ht="25.5">
      <c r="A95" s="121" t="s">
        <v>297</v>
      </c>
      <c r="B95" s="122" t="s">
        <v>298</v>
      </c>
      <c r="C95" s="123" t="s">
        <v>142</v>
      </c>
      <c r="D95" s="131">
        <v>34.44</v>
      </c>
      <c r="E95" s="125">
        <v>751.36</v>
      </c>
      <c r="F95" s="125">
        <f t="shared" si="12"/>
        <v>25876.84</v>
      </c>
      <c r="H95" s="114" t="s">
        <v>125</v>
      </c>
      <c r="I95" s="115">
        <v>96616</v>
      </c>
    </row>
    <row r="96" spans="1:9" s="126" customFormat="1" ht="25.5">
      <c r="A96" s="121" t="s">
        <v>299</v>
      </c>
      <c r="B96" s="122" t="s">
        <v>191</v>
      </c>
      <c r="C96" s="123" t="s">
        <v>142</v>
      </c>
      <c r="D96" s="131">
        <v>103.32</v>
      </c>
      <c r="E96" s="125">
        <v>34.36</v>
      </c>
      <c r="F96" s="125">
        <f t="shared" si="12"/>
        <v>3550.08</v>
      </c>
      <c r="H96" s="114" t="s">
        <v>125</v>
      </c>
      <c r="I96" s="115">
        <v>93382</v>
      </c>
    </row>
    <row r="97" spans="1:256" ht="12.75">
      <c r="A97" s="121"/>
      <c r="B97" s="153" t="s">
        <v>300</v>
      </c>
      <c r="C97" s="123"/>
      <c r="D97" s="154"/>
      <c r="E97" s="155"/>
      <c r="F97" s="155"/>
      <c r="G97" s="126"/>
      <c r="H97" s="114"/>
      <c r="I97" s="115"/>
      <c r="IM97" s="126"/>
      <c r="IN97" s="126"/>
      <c r="IO97" s="126"/>
      <c r="IP97" s="126"/>
      <c r="IQ97" s="126"/>
      <c r="IR97" s="126"/>
      <c r="IS97" s="126"/>
      <c r="IT97" s="126"/>
      <c r="IU97" s="126"/>
      <c r="IV97" s="126"/>
    </row>
    <row r="98" spans="1:9" s="126" customFormat="1" ht="38.25">
      <c r="A98" s="121" t="s">
        <v>301</v>
      </c>
      <c r="B98" s="122" t="s">
        <v>302</v>
      </c>
      <c r="C98" s="123" t="s">
        <v>86</v>
      </c>
      <c r="D98" s="131">
        <v>30</v>
      </c>
      <c r="E98" s="125">
        <v>165.65</v>
      </c>
      <c r="F98" s="125">
        <f aca="true" t="shared" si="13" ref="F98:F99">ROUND(D98*E98,2)</f>
        <v>4969.5</v>
      </c>
      <c r="H98" s="114" t="s">
        <v>125</v>
      </c>
      <c r="I98" s="115">
        <v>97881</v>
      </c>
    </row>
    <row r="99" spans="1:9" s="126" customFormat="1" ht="38.25">
      <c r="A99" s="121" t="s">
        <v>303</v>
      </c>
      <c r="B99" s="122" t="s">
        <v>304</v>
      </c>
      <c r="C99" s="123" t="s">
        <v>86</v>
      </c>
      <c r="D99" s="131">
        <v>2</v>
      </c>
      <c r="E99" s="125">
        <v>510.34</v>
      </c>
      <c r="F99" s="125">
        <f t="shared" si="13"/>
        <v>1020.68</v>
      </c>
      <c r="H99" s="114" t="s">
        <v>125</v>
      </c>
      <c r="I99" s="115">
        <v>97883</v>
      </c>
    </row>
    <row r="100" spans="1:256" ht="12.75">
      <c r="A100" s="121"/>
      <c r="B100" s="153" t="s">
        <v>305</v>
      </c>
      <c r="C100" s="123"/>
      <c r="D100" s="131"/>
      <c r="E100" s="155"/>
      <c r="F100" s="155"/>
      <c r="G100" s="126"/>
      <c r="H100" s="114"/>
      <c r="I100" s="115"/>
      <c r="IM100" s="126"/>
      <c r="IN100" s="126"/>
      <c r="IO100" s="126"/>
      <c r="IP100" s="126"/>
      <c r="IQ100" s="126"/>
      <c r="IR100" s="126"/>
      <c r="IS100" s="126"/>
      <c r="IT100" s="126"/>
      <c r="IU100" s="126"/>
      <c r="IV100" s="126"/>
    </row>
    <row r="101" spans="1:9" s="126" customFormat="1" ht="25.5">
      <c r="A101" s="121" t="s">
        <v>306</v>
      </c>
      <c r="B101" s="122" t="s">
        <v>307</v>
      </c>
      <c r="C101" s="123" t="s">
        <v>86</v>
      </c>
      <c r="D101" s="131">
        <v>35</v>
      </c>
      <c r="E101" s="125">
        <v>42.95</v>
      </c>
      <c r="F101" s="125">
        <f aca="true" t="shared" si="14" ref="F101:F105">ROUND(D101*E101,2)</f>
        <v>1503.25</v>
      </c>
      <c r="H101" s="114" t="s">
        <v>51</v>
      </c>
      <c r="I101" s="115" t="s">
        <v>308</v>
      </c>
    </row>
    <row r="102" spans="1:9" s="126" customFormat="1" ht="127.5">
      <c r="A102" s="121" t="s">
        <v>309</v>
      </c>
      <c r="B102" s="122" t="s">
        <v>310</v>
      </c>
      <c r="C102" s="123" t="s">
        <v>129</v>
      </c>
      <c r="D102" s="131">
        <v>38</v>
      </c>
      <c r="E102" s="125">
        <v>788.49</v>
      </c>
      <c r="F102" s="125">
        <f t="shared" si="14"/>
        <v>29962.62</v>
      </c>
      <c r="H102" s="114" t="s">
        <v>51</v>
      </c>
      <c r="I102" s="115" t="s">
        <v>311</v>
      </c>
    </row>
    <row r="103" spans="1:9" s="126" customFormat="1" ht="25.5">
      <c r="A103" s="121" t="s">
        <v>312</v>
      </c>
      <c r="B103" s="122" t="s">
        <v>313</v>
      </c>
      <c r="C103" s="123" t="s">
        <v>86</v>
      </c>
      <c r="D103" s="131">
        <v>35</v>
      </c>
      <c r="E103" s="125">
        <v>97.16</v>
      </c>
      <c r="F103" s="125">
        <f t="shared" si="14"/>
        <v>3400.6</v>
      </c>
      <c r="H103" s="114" t="s">
        <v>51</v>
      </c>
      <c r="I103" s="115" t="s">
        <v>314</v>
      </c>
    </row>
    <row r="104" spans="1:9" s="126" customFormat="1" ht="102">
      <c r="A104" s="121" t="s">
        <v>315</v>
      </c>
      <c r="B104" s="122" t="s">
        <v>316</v>
      </c>
      <c r="C104" s="123" t="s">
        <v>86</v>
      </c>
      <c r="D104" s="131">
        <v>38</v>
      </c>
      <c r="E104" s="125">
        <v>178.34</v>
      </c>
      <c r="F104" s="125">
        <f t="shared" si="14"/>
        <v>6776.92</v>
      </c>
      <c r="H104" s="114" t="s">
        <v>125</v>
      </c>
      <c r="I104" s="115">
        <v>101637</v>
      </c>
    </row>
    <row r="105" spans="1:9" s="126" customFormat="1" ht="114.75">
      <c r="A105" s="121" t="s">
        <v>317</v>
      </c>
      <c r="B105" s="122" t="s">
        <v>318</v>
      </c>
      <c r="C105" s="123" t="s">
        <v>86</v>
      </c>
      <c r="D105" s="131">
        <v>3</v>
      </c>
      <c r="E105" s="125">
        <v>2006.75</v>
      </c>
      <c r="F105" s="125">
        <f t="shared" si="14"/>
        <v>6020.25</v>
      </c>
      <c r="H105" s="114" t="s">
        <v>51</v>
      </c>
      <c r="I105" s="115" t="s">
        <v>319</v>
      </c>
    </row>
    <row r="106" spans="1:9" ht="12.75">
      <c r="A106" s="116" t="s">
        <v>320</v>
      </c>
      <c r="B106" s="117" t="s">
        <v>321</v>
      </c>
      <c r="C106" s="118"/>
      <c r="D106" s="119"/>
      <c r="E106" s="120"/>
      <c r="F106" s="120">
        <f>SUM(F107:F108)</f>
        <v>16290</v>
      </c>
      <c r="H106" s="114"/>
      <c r="I106" s="115"/>
    </row>
    <row r="107" spans="1:9" s="126" customFormat="1" ht="51">
      <c r="A107" s="121" t="s">
        <v>322</v>
      </c>
      <c r="B107" s="132" t="s">
        <v>323</v>
      </c>
      <c r="C107" s="130" t="s">
        <v>82</v>
      </c>
      <c r="D107" s="131">
        <v>2000</v>
      </c>
      <c r="E107" s="125">
        <v>5.43</v>
      </c>
      <c r="F107" s="125">
        <f aca="true" t="shared" si="15" ref="F107:F108">ROUND(D107*E107,2)</f>
        <v>10860</v>
      </c>
      <c r="H107" s="114" t="s">
        <v>125</v>
      </c>
      <c r="I107" s="115">
        <v>91927</v>
      </c>
    </row>
    <row r="108" spans="1:9" s="126" customFormat="1" ht="63.75">
      <c r="A108" s="121" t="s">
        <v>324</v>
      </c>
      <c r="B108" s="132" t="s">
        <v>325</v>
      </c>
      <c r="C108" s="130" t="s">
        <v>82</v>
      </c>
      <c r="D108" s="131">
        <v>1000</v>
      </c>
      <c r="E108" s="125">
        <v>5.43</v>
      </c>
      <c r="F108" s="125">
        <f t="shared" si="15"/>
        <v>5430</v>
      </c>
      <c r="H108" s="114" t="s">
        <v>125</v>
      </c>
      <c r="I108" s="115">
        <v>91927</v>
      </c>
    </row>
    <row r="109" spans="1:9" ht="12.75">
      <c r="A109" s="116" t="s">
        <v>326</v>
      </c>
      <c r="B109" s="117" t="s">
        <v>327</v>
      </c>
      <c r="C109" s="118"/>
      <c r="D109" s="119"/>
      <c r="E109" s="120"/>
      <c r="F109" s="120">
        <f>SUM(F110:F111)</f>
        <v>790.95</v>
      </c>
      <c r="H109" s="114"/>
      <c r="I109" s="115"/>
    </row>
    <row r="110" spans="1:9" s="126" customFormat="1" ht="38.25">
      <c r="A110" s="121" t="s">
        <v>328</v>
      </c>
      <c r="B110" s="122" t="s">
        <v>329</v>
      </c>
      <c r="C110" s="123" t="s">
        <v>330</v>
      </c>
      <c r="D110" s="131">
        <v>6</v>
      </c>
      <c r="E110" s="125">
        <v>117.14</v>
      </c>
      <c r="F110" s="125">
        <f aca="true" t="shared" si="16" ref="F110:F111">ROUND(D110*E110,2)</f>
        <v>702.84</v>
      </c>
      <c r="H110" s="114" t="s">
        <v>125</v>
      </c>
      <c r="I110" s="115">
        <v>93660</v>
      </c>
    </row>
    <row r="111" spans="1:9" s="126" customFormat="1" ht="38.25">
      <c r="A111" s="121" t="s">
        <v>331</v>
      </c>
      <c r="B111" s="122" t="s">
        <v>332</v>
      </c>
      <c r="C111" s="123" t="s">
        <v>333</v>
      </c>
      <c r="D111" s="131">
        <v>1</v>
      </c>
      <c r="E111" s="125">
        <v>88.11</v>
      </c>
      <c r="F111" s="125">
        <f t="shared" si="16"/>
        <v>88.11</v>
      </c>
      <c r="H111" s="114" t="s">
        <v>61</v>
      </c>
      <c r="I111" s="115" t="s">
        <v>334</v>
      </c>
    </row>
    <row r="112" spans="1:9" ht="12.75">
      <c r="A112" s="116" t="s">
        <v>335</v>
      </c>
      <c r="B112" s="117" t="s">
        <v>336</v>
      </c>
      <c r="C112" s="118"/>
      <c r="D112" s="119"/>
      <c r="E112" s="120"/>
      <c r="F112" s="120">
        <f>SUM(F113:F115)</f>
        <v>45990.840000000004</v>
      </c>
      <c r="H112" s="114"/>
      <c r="I112" s="115"/>
    </row>
    <row r="113" spans="1:9" s="126" customFormat="1" ht="153">
      <c r="A113" s="121" t="s">
        <v>337</v>
      </c>
      <c r="B113" s="122" t="s">
        <v>338</v>
      </c>
      <c r="C113" s="123" t="s">
        <v>86</v>
      </c>
      <c r="D113" s="131">
        <v>57</v>
      </c>
      <c r="E113" s="125">
        <v>747.95</v>
      </c>
      <c r="F113" s="125">
        <f aca="true" t="shared" si="17" ref="F113:F115">ROUND(D113*E113,2)</f>
        <v>42633.15</v>
      </c>
      <c r="H113" s="114" t="s">
        <v>125</v>
      </c>
      <c r="I113" s="115">
        <v>101656</v>
      </c>
    </row>
    <row r="114" spans="1:9" s="126" customFormat="1" ht="51">
      <c r="A114" s="121" t="s">
        <v>339</v>
      </c>
      <c r="B114" s="122" t="s">
        <v>340</v>
      </c>
      <c r="C114" s="123" t="s">
        <v>129</v>
      </c>
      <c r="D114" s="131">
        <v>16</v>
      </c>
      <c r="E114" s="125">
        <v>118.68</v>
      </c>
      <c r="F114" s="125">
        <f t="shared" si="17"/>
        <v>1898.88</v>
      </c>
      <c r="H114" s="114" t="s">
        <v>51</v>
      </c>
      <c r="I114" s="115" t="s">
        <v>341</v>
      </c>
    </row>
    <row r="115" spans="1:9" s="126" customFormat="1" ht="89.25">
      <c r="A115" s="121" t="s">
        <v>342</v>
      </c>
      <c r="B115" s="122" t="s">
        <v>343</v>
      </c>
      <c r="C115" s="123" t="s">
        <v>333</v>
      </c>
      <c r="D115" s="131">
        <v>27</v>
      </c>
      <c r="E115" s="125">
        <v>54.03</v>
      </c>
      <c r="F115" s="125">
        <f t="shared" si="17"/>
        <v>1458.81</v>
      </c>
      <c r="H115" s="114" t="s">
        <v>61</v>
      </c>
      <c r="I115" s="115" t="s">
        <v>344</v>
      </c>
    </row>
    <row r="116" spans="1:9" ht="25.5">
      <c r="A116" s="116" t="s">
        <v>345</v>
      </c>
      <c r="B116" s="117" t="s">
        <v>346</v>
      </c>
      <c r="C116" s="118"/>
      <c r="D116" s="119"/>
      <c r="E116" s="120"/>
      <c r="F116" s="120">
        <f>SUM(F117:F123)</f>
        <v>17987.769999999997</v>
      </c>
      <c r="H116" s="114"/>
      <c r="I116" s="115"/>
    </row>
    <row r="117" spans="1:9" s="126" customFormat="1" ht="12.75">
      <c r="A117" s="157" t="s">
        <v>347</v>
      </c>
      <c r="B117" s="133" t="s">
        <v>167</v>
      </c>
      <c r="C117" s="134" t="s">
        <v>142</v>
      </c>
      <c r="D117" s="131">
        <v>18</v>
      </c>
      <c r="E117" s="125">
        <v>37.7</v>
      </c>
      <c r="F117" s="125">
        <f aca="true" t="shared" si="18" ref="F117:F123">ROUND(D117*E117,2)</f>
        <v>678.6</v>
      </c>
      <c r="H117" s="114" t="s">
        <v>51</v>
      </c>
      <c r="I117" s="115" t="s">
        <v>168</v>
      </c>
    </row>
    <row r="118" spans="1:9" s="126" customFormat="1" ht="102">
      <c r="A118" s="157" t="s">
        <v>348</v>
      </c>
      <c r="B118" s="122" t="s">
        <v>296</v>
      </c>
      <c r="C118" s="123" t="s">
        <v>82</v>
      </c>
      <c r="D118" s="131">
        <v>300</v>
      </c>
      <c r="E118" s="125">
        <v>15.63</v>
      </c>
      <c r="F118" s="125">
        <f t="shared" si="18"/>
        <v>4689</v>
      </c>
      <c r="H118" s="114" t="s">
        <v>125</v>
      </c>
      <c r="I118" s="115">
        <v>97668</v>
      </c>
    </row>
    <row r="119" spans="1:9" s="126" customFormat="1" ht="38.25">
      <c r="A119" s="157" t="s">
        <v>349</v>
      </c>
      <c r="B119" s="122" t="s">
        <v>302</v>
      </c>
      <c r="C119" s="123" t="s">
        <v>86</v>
      </c>
      <c r="D119" s="131">
        <v>4</v>
      </c>
      <c r="E119" s="125">
        <v>165.65</v>
      </c>
      <c r="F119" s="125">
        <f t="shared" si="18"/>
        <v>662.6</v>
      </c>
      <c r="H119" s="114" t="s">
        <v>125</v>
      </c>
      <c r="I119" s="115">
        <v>97881</v>
      </c>
    </row>
    <row r="120" spans="1:9" s="126" customFormat="1" ht="25.5">
      <c r="A120" s="157" t="s">
        <v>350</v>
      </c>
      <c r="B120" s="122" t="s">
        <v>298</v>
      </c>
      <c r="C120" s="123" t="s">
        <v>142</v>
      </c>
      <c r="D120" s="131">
        <v>3</v>
      </c>
      <c r="E120" s="125">
        <v>751.36</v>
      </c>
      <c r="F120" s="125">
        <f t="shared" si="18"/>
        <v>2254.08</v>
      </c>
      <c r="H120" s="114" t="s">
        <v>125</v>
      </c>
      <c r="I120" s="115">
        <v>96616</v>
      </c>
    </row>
    <row r="121" spans="1:9" s="126" customFormat="1" ht="25.5">
      <c r="A121" s="157" t="s">
        <v>351</v>
      </c>
      <c r="B121" s="122" t="s">
        <v>209</v>
      </c>
      <c r="C121" s="123" t="s">
        <v>142</v>
      </c>
      <c r="D121" s="131">
        <v>14.411249999999999</v>
      </c>
      <c r="E121" s="125">
        <v>22.54</v>
      </c>
      <c r="F121" s="125">
        <f t="shared" si="18"/>
        <v>324.83</v>
      </c>
      <c r="H121" s="114" t="s">
        <v>125</v>
      </c>
      <c r="I121" s="115">
        <v>93379</v>
      </c>
    </row>
    <row r="122" spans="1:9" s="126" customFormat="1" ht="127.5">
      <c r="A122" s="157" t="s">
        <v>352</v>
      </c>
      <c r="B122" s="132" t="s">
        <v>353</v>
      </c>
      <c r="C122" s="130" t="s">
        <v>82</v>
      </c>
      <c r="D122" s="131">
        <v>150</v>
      </c>
      <c r="E122" s="125">
        <v>12.99</v>
      </c>
      <c r="F122" s="125">
        <f t="shared" si="18"/>
        <v>1948.5</v>
      </c>
      <c r="H122" s="114" t="s">
        <v>51</v>
      </c>
      <c r="I122" s="115" t="s">
        <v>354</v>
      </c>
    </row>
    <row r="123" spans="1:9" s="126" customFormat="1" ht="38.25">
      <c r="A123" s="157" t="s">
        <v>355</v>
      </c>
      <c r="B123" s="132" t="s">
        <v>356</v>
      </c>
      <c r="C123" s="130" t="s">
        <v>86</v>
      </c>
      <c r="D123" s="131">
        <v>24</v>
      </c>
      <c r="E123" s="125">
        <v>309.59</v>
      </c>
      <c r="F123" s="125">
        <f t="shared" si="18"/>
        <v>7430.16</v>
      </c>
      <c r="H123" s="114" t="s">
        <v>51</v>
      </c>
      <c r="I123" s="115" t="s">
        <v>357</v>
      </c>
    </row>
    <row r="124" spans="1:9" ht="12.75">
      <c r="A124" s="116" t="s">
        <v>358</v>
      </c>
      <c r="B124" s="117" t="s">
        <v>359</v>
      </c>
      <c r="C124" s="118"/>
      <c r="D124" s="119"/>
      <c r="E124" s="120"/>
      <c r="F124" s="120">
        <f>SUM(F125:F134)</f>
        <v>55933.88</v>
      </c>
      <c r="H124" s="114"/>
      <c r="I124" s="115"/>
    </row>
    <row r="125" spans="1:9" s="126" customFormat="1" ht="12.75">
      <c r="A125" s="157" t="s">
        <v>360</v>
      </c>
      <c r="B125" s="122" t="s">
        <v>361</v>
      </c>
      <c r="C125" s="123" t="s">
        <v>82</v>
      </c>
      <c r="D125" s="131">
        <v>500</v>
      </c>
      <c r="E125" s="125">
        <v>2.57</v>
      </c>
      <c r="F125" s="125">
        <f aca="true" t="shared" si="19" ref="F125:F134">ROUND(D125*E125,2)</f>
        <v>1285</v>
      </c>
      <c r="H125" s="114" t="s">
        <v>51</v>
      </c>
      <c r="I125" s="115" t="s">
        <v>362</v>
      </c>
    </row>
    <row r="126" spans="1:9" s="126" customFormat="1" ht="12.75">
      <c r="A126" s="157" t="s">
        <v>363</v>
      </c>
      <c r="B126" s="133" t="s">
        <v>167</v>
      </c>
      <c r="C126" s="134" t="s">
        <v>142</v>
      </c>
      <c r="D126" s="131">
        <v>18</v>
      </c>
      <c r="E126" s="125">
        <v>37.7</v>
      </c>
      <c r="F126" s="125">
        <f t="shared" si="19"/>
        <v>678.6</v>
      </c>
      <c r="H126" s="114" t="s">
        <v>51</v>
      </c>
      <c r="I126" s="115" t="s">
        <v>168</v>
      </c>
    </row>
    <row r="127" spans="1:9" s="126" customFormat="1" ht="102">
      <c r="A127" s="157" t="s">
        <v>364</v>
      </c>
      <c r="B127" s="122" t="s">
        <v>365</v>
      </c>
      <c r="C127" s="123" t="s">
        <v>82</v>
      </c>
      <c r="D127" s="131">
        <v>200</v>
      </c>
      <c r="E127" s="125">
        <v>29.92</v>
      </c>
      <c r="F127" s="125">
        <f t="shared" si="19"/>
        <v>5984</v>
      </c>
      <c r="H127" s="114" t="s">
        <v>125</v>
      </c>
      <c r="I127" s="115">
        <v>97670</v>
      </c>
    </row>
    <row r="128" spans="1:9" s="126" customFormat="1" ht="38.25">
      <c r="A128" s="157" t="s">
        <v>366</v>
      </c>
      <c r="B128" s="122" t="s">
        <v>304</v>
      </c>
      <c r="C128" s="123" t="s">
        <v>86</v>
      </c>
      <c r="D128" s="131">
        <v>3</v>
      </c>
      <c r="E128" s="125">
        <v>510.34</v>
      </c>
      <c r="F128" s="125">
        <f t="shared" si="19"/>
        <v>1531.02</v>
      </c>
      <c r="H128" s="114" t="s">
        <v>125</v>
      </c>
      <c r="I128" s="115">
        <v>97883</v>
      </c>
    </row>
    <row r="129" spans="1:9" s="126" customFormat="1" ht="25.5">
      <c r="A129" s="157" t="s">
        <v>367</v>
      </c>
      <c r="B129" s="122" t="s">
        <v>298</v>
      </c>
      <c r="C129" s="123" t="s">
        <v>142</v>
      </c>
      <c r="D129" s="131">
        <v>3</v>
      </c>
      <c r="E129" s="125">
        <v>751.36</v>
      </c>
      <c r="F129" s="125">
        <f t="shared" si="19"/>
        <v>2254.08</v>
      </c>
      <c r="H129" s="114" t="s">
        <v>125</v>
      </c>
      <c r="I129" s="115">
        <v>96616</v>
      </c>
    </row>
    <row r="130" spans="1:9" s="126" customFormat="1" ht="25.5">
      <c r="A130" s="157" t="s">
        <v>368</v>
      </c>
      <c r="B130" s="122" t="s">
        <v>209</v>
      </c>
      <c r="C130" s="123" t="s">
        <v>142</v>
      </c>
      <c r="D130" s="131">
        <v>13.43</v>
      </c>
      <c r="E130" s="125">
        <v>22.54</v>
      </c>
      <c r="F130" s="125">
        <f t="shared" si="19"/>
        <v>302.71</v>
      </c>
      <c r="H130" s="114" t="s">
        <v>125</v>
      </c>
      <c r="I130" s="115">
        <v>93379</v>
      </c>
    </row>
    <row r="131" spans="1:9" s="126" customFormat="1" ht="51">
      <c r="A131" s="157" t="s">
        <v>369</v>
      </c>
      <c r="B131" s="132" t="s">
        <v>370</v>
      </c>
      <c r="C131" s="130" t="s">
        <v>82</v>
      </c>
      <c r="D131" s="131">
        <v>200</v>
      </c>
      <c r="E131" s="125">
        <v>187.8</v>
      </c>
      <c r="F131" s="125">
        <f t="shared" si="19"/>
        <v>37560</v>
      </c>
      <c r="H131" s="114" t="s">
        <v>125</v>
      </c>
      <c r="I131" s="115">
        <v>92996</v>
      </c>
    </row>
    <row r="132" spans="1:9" s="126" customFormat="1" ht="51">
      <c r="A132" s="157" t="s">
        <v>371</v>
      </c>
      <c r="B132" s="132" t="s">
        <v>372</v>
      </c>
      <c r="C132" s="130" t="s">
        <v>82</v>
      </c>
      <c r="D132" s="131">
        <v>50</v>
      </c>
      <c r="E132" s="125">
        <v>119.3</v>
      </c>
      <c r="F132" s="125">
        <f t="shared" si="19"/>
        <v>5965</v>
      </c>
      <c r="H132" s="114" t="s">
        <v>125</v>
      </c>
      <c r="I132" s="115">
        <v>92992</v>
      </c>
    </row>
    <row r="133" spans="1:9" s="126" customFormat="1" ht="38.25">
      <c r="A133" s="157" t="s">
        <v>373</v>
      </c>
      <c r="B133" s="132" t="s">
        <v>374</v>
      </c>
      <c r="C133" s="130" t="s">
        <v>86</v>
      </c>
      <c r="D133" s="131">
        <v>4</v>
      </c>
      <c r="E133" s="125">
        <v>76.63</v>
      </c>
      <c r="F133" s="125">
        <f t="shared" si="19"/>
        <v>306.52</v>
      </c>
      <c r="H133" s="114" t="s">
        <v>51</v>
      </c>
      <c r="I133" s="115" t="s">
        <v>375</v>
      </c>
    </row>
    <row r="134" spans="1:9" s="126" customFormat="1" ht="38.25">
      <c r="A134" s="157" t="s">
        <v>376</v>
      </c>
      <c r="B134" s="132" t="s">
        <v>377</v>
      </c>
      <c r="C134" s="130" t="s">
        <v>86</v>
      </c>
      <c r="D134" s="131">
        <v>1</v>
      </c>
      <c r="E134" s="125">
        <v>66.95</v>
      </c>
      <c r="F134" s="125">
        <f t="shared" si="19"/>
        <v>66.95</v>
      </c>
      <c r="H134" s="114" t="s">
        <v>51</v>
      </c>
      <c r="I134" s="115" t="s">
        <v>378</v>
      </c>
    </row>
    <row r="135" spans="1:9" ht="12.75">
      <c r="A135" s="109">
        <v>4</v>
      </c>
      <c r="B135" s="109" t="s">
        <v>379</v>
      </c>
      <c r="C135" s="110"/>
      <c r="D135" s="111"/>
      <c r="E135" s="112"/>
      <c r="F135" s="112">
        <f>F136+F139</f>
        <v>7524.52</v>
      </c>
      <c r="G135" s="113"/>
      <c r="H135" s="114"/>
      <c r="I135" s="115"/>
    </row>
    <row r="136" spans="1:9" ht="12.75">
      <c r="A136" s="116" t="s">
        <v>380</v>
      </c>
      <c r="B136" s="117" t="s">
        <v>381</v>
      </c>
      <c r="C136" s="118"/>
      <c r="D136" s="119"/>
      <c r="E136" s="120"/>
      <c r="F136" s="120">
        <f>SUM(F137:F138)</f>
        <v>344.52</v>
      </c>
      <c r="H136" s="114"/>
      <c r="I136" s="115"/>
    </row>
    <row r="137" spans="1:9" s="126" customFormat="1" ht="22.5">
      <c r="A137" s="157" t="s">
        <v>382</v>
      </c>
      <c r="B137" s="133" t="s">
        <v>212</v>
      </c>
      <c r="C137" s="134" t="s">
        <v>142</v>
      </c>
      <c r="D137" s="131">
        <v>0.36</v>
      </c>
      <c r="E137" s="125">
        <v>80.74</v>
      </c>
      <c r="F137" s="125">
        <f aca="true" t="shared" si="20" ref="F137:F138">ROUND(D137*E137,2)</f>
        <v>29.07</v>
      </c>
      <c r="H137" s="114" t="s">
        <v>125</v>
      </c>
      <c r="I137" s="115">
        <v>93358</v>
      </c>
    </row>
    <row r="138" spans="1:9" s="126" customFormat="1" ht="25.5">
      <c r="A138" s="157" t="s">
        <v>383</v>
      </c>
      <c r="B138" s="122" t="s">
        <v>181</v>
      </c>
      <c r="C138" s="123" t="s">
        <v>142</v>
      </c>
      <c r="D138" s="131">
        <v>0.36</v>
      </c>
      <c r="E138" s="125">
        <v>876.25</v>
      </c>
      <c r="F138" s="125">
        <f t="shared" si="20"/>
        <v>315.45</v>
      </c>
      <c r="H138" s="114" t="s">
        <v>56</v>
      </c>
      <c r="I138" s="115" t="s">
        <v>182</v>
      </c>
    </row>
    <row r="139" spans="1:9" ht="12.75">
      <c r="A139" s="116" t="s">
        <v>384</v>
      </c>
      <c r="B139" s="117" t="s">
        <v>385</v>
      </c>
      <c r="C139" s="118"/>
      <c r="D139" s="119"/>
      <c r="E139" s="120"/>
      <c r="F139" s="120">
        <f>SUM(F140)</f>
        <v>7180</v>
      </c>
      <c r="H139" s="114"/>
      <c r="I139" s="115"/>
    </row>
    <row r="140" spans="1:9" s="126" customFormat="1" ht="38.25">
      <c r="A140" s="121" t="s">
        <v>386</v>
      </c>
      <c r="B140" s="122" t="s">
        <v>387</v>
      </c>
      <c r="C140" s="123" t="s">
        <v>82</v>
      </c>
      <c r="D140" s="131">
        <v>16</v>
      </c>
      <c r="E140" s="125">
        <v>448.75</v>
      </c>
      <c r="F140" s="125">
        <f>ROUND(D140*E140,2)</f>
        <v>7180</v>
      </c>
      <c r="H140" s="114" t="s">
        <v>51</v>
      </c>
      <c r="I140" s="115" t="s">
        <v>388</v>
      </c>
    </row>
    <row r="141" spans="1:9" ht="12.75">
      <c r="A141" s="109">
        <v>5</v>
      </c>
      <c r="B141" s="109" t="s">
        <v>389</v>
      </c>
      <c r="C141" s="110"/>
      <c r="D141" s="111"/>
      <c r="E141" s="112"/>
      <c r="F141" s="112">
        <f>F142</f>
        <v>47117.47</v>
      </c>
      <c r="G141" s="113"/>
      <c r="H141" s="114"/>
      <c r="I141" s="115"/>
    </row>
    <row r="142" spans="1:9" ht="12.75">
      <c r="A142" s="116" t="s">
        <v>390</v>
      </c>
      <c r="B142" s="117" t="s">
        <v>391</v>
      </c>
      <c r="C142" s="118"/>
      <c r="D142" s="119"/>
      <c r="E142" s="120"/>
      <c r="F142" s="120">
        <f>SUM(F143:F144)</f>
        <v>47117.47</v>
      </c>
      <c r="H142" s="114"/>
      <c r="I142" s="115"/>
    </row>
    <row r="143" spans="1:9" s="126" customFormat="1" ht="63.75">
      <c r="A143" s="121" t="s">
        <v>392</v>
      </c>
      <c r="B143" s="122" t="s">
        <v>393</v>
      </c>
      <c r="C143" s="123" t="s">
        <v>142</v>
      </c>
      <c r="D143" s="131">
        <v>817.38373</v>
      </c>
      <c r="E143" s="125">
        <v>48.86</v>
      </c>
      <c r="F143" s="125">
        <f aca="true" t="shared" si="21" ref="F143:F144">ROUND(D143*E143,2)</f>
        <v>39937.37</v>
      </c>
      <c r="H143" s="114" t="s">
        <v>51</v>
      </c>
      <c r="I143" s="115" t="s">
        <v>394</v>
      </c>
    </row>
    <row r="144" spans="1:9" s="126" customFormat="1" ht="25.5">
      <c r="A144" s="121" t="s">
        <v>395</v>
      </c>
      <c r="B144" s="122" t="s">
        <v>396</v>
      </c>
      <c r="C144" s="123" t="s">
        <v>142</v>
      </c>
      <c r="D144" s="131">
        <v>95</v>
      </c>
      <c r="E144" s="125">
        <v>75.58</v>
      </c>
      <c r="F144" s="125">
        <f t="shared" si="21"/>
        <v>7180.1</v>
      </c>
      <c r="H144" s="114" t="s">
        <v>51</v>
      </c>
      <c r="I144" s="115" t="s">
        <v>397</v>
      </c>
    </row>
    <row r="145" spans="1:9" s="145" customFormat="1" ht="12.75">
      <c r="A145" s="137"/>
      <c r="B145" s="138"/>
      <c r="C145" s="139"/>
      <c r="D145" s="140"/>
      <c r="E145" s="141"/>
      <c r="F145" s="125"/>
      <c r="G145" s="142"/>
      <c r="H145" s="143"/>
      <c r="I145" s="144"/>
    </row>
    <row r="146" spans="1:6" ht="12.75">
      <c r="A146" s="146"/>
      <c r="B146" s="147"/>
      <c r="C146" s="147"/>
      <c r="D146" s="148"/>
      <c r="E146" s="149" t="s">
        <v>3</v>
      </c>
      <c r="F146" s="150">
        <f>F10+F26+F90+F135+F141</f>
        <v>998564.38</v>
      </c>
    </row>
    <row r="148" ht="12.75">
      <c r="F148" s="151">
        <f>IF(ROUND((SUM(F10:F144)/3),2)=F146," ","EXISTE ALGUM ERRO DE SOMATÓRIO")</f>
        <v>0</v>
      </c>
    </row>
    <row r="150" ht="12.75">
      <c r="F150" s="159"/>
    </row>
  </sheetData>
  <sheetProtection selectLockedCells="1" selectUnlockedCells="1"/>
  <mergeCells count="2">
    <mergeCell ref="A8:D8"/>
    <mergeCell ref="H8:I8"/>
  </mergeCells>
  <conditionalFormatting sqref="B28:C28">
    <cfRule type="expression" priority="1" dxfId="0" stopIfTrue="1">
      <formula>ISERROR(B28)</formula>
    </cfRule>
  </conditionalFormatting>
  <conditionalFormatting sqref="B30:C30">
    <cfRule type="expression" priority="2" dxfId="0" stopIfTrue="1">
      <formula>ISERROR(B30)</formula>
    </cfRule>
  </conditionalFormatting>
  <conditionalFormatting sqref="B29:C29">
    <cfRule type="expression" priority="3" dxfId="0" stopIfTrue="1">
      <formula>ISERROR(B29)</formula>
    </cfRule>
  </conditionalFormatting>
  <conditionalFormatting sqref="B34:C34">
    <cfRule type="expression" priority="4" dxfId="0" stopIfTrue="1">
      <formula>ISERROR(B34)</formula>
    </cfRule>
  </conditionalFormatting>
  <conditionalFormatting sqref="B35:C35">
    <cfRule type="expression" priority="5" dxfId="0" stopIfTrue="1">
      <formula>ISERROR(B35)</formula>
    </cfRule>
  </conditionalFormatting>
  <conditionalFormatting sqref="B37:C37">
    <cfRule type="expression" priority="6" dxfId="0" stopIfTrue="1">
      <formula>ISERROR(B37)</formula>
    </cfRule>
  </conditionalFormatting>
  <conditionalFormatting sqref="B38:C38">
    <cfRule type="expression" priority="7" dxfId="0" stopIfTrue="1">
      <formula>ISERROR(B38)</formula>
    </cfRule>
  </conditionalFormatting>
  <conditionalFormatting sqref="B39:C39">
    <cfRule type="expression" priority="8" dxfId="0" stopIfTrue="1">
      <formula>ISERROR(B39)</formula>
    </cfRule>
  </conditionalFormatting>
  <conditionalFormatting sqref="C45">
    <cfRule type="expression" priority="9" dxfId="0" stopIfTrue="1">
      <formula>ISERROR(C45)</formula>
    </cfRule>
  </conditionalFormatting>
  <conditionalFormatting sqref="B46:C46 B48:C52">
    <cfRule type="expression" priority="10" dxfId="0" stopIfTrue="1">
      <formula>ISERROR(B46)</formula>
    </cfRule>
  </conditionalFormatting>
  <conditionalFormatting sqref="B61:C63">
    <cfRule type="expression" priority="11" dxfId="0" stopIfTrue="1">
      <formula>ISERROR(B61)</formula>
    </cfRule>
  </conditionalFormatting>
  <conditionalFormatting sqref="B73:C73">
    <cfRule type="expression" priority="12" dxfId="0" stopIfTrue="1">
      <formula>ISERROR(B73)</formula>
    </cfRule>
  </conditionalFormatting>
  <conditionalFormatting sqref="B54:C54">
    <cfRule type="expression" priority="13" dxfId="0" stopIfTrue="1">
      <formula>ISERROR(B54)</formula>
    </cfRule>
  </conditionalFormatting>
  <conditionalFormatting sqref="B55:C55">
    <cfRule type="expression" priority="14" dxfId="0" stopIfTrue="1">
      <formula>ISERROR(B55)</formula>
    </cfRule>
  </conditionalFormatting>
  <conditionalFormatting sqref="B74:C74">
    <cfRule type="expression" priority="15" dxfId="0" stopIfTrue="1">
      <formula>ISERROR(B74)</formula>
    </cfRule>
  </conditionalFormatting>
  <conditionalFormatting sqref="B75:C75">
    <cfRule type="expression" priority="16" dxfId="0" stopIfTrue="1">
      <formula>ISERROR(B75)</formula>
    </cfRule>
  </conditionalFormatting>
  <conditionalFormatting sqref="B76:C76">
    <cfRule type="expression" priority="17" dxfId="0" stopIfTrue="1">
      <formula>ISERROR(B76)</formula>
    </cfRule>
  </conditionalFormatting>
  <conditionalFormatting sqref="B77:C77">
    <cfRule type="expression" priority="18" dxfId="0" stopIfTrue="1">
      <formula>ISERROR(B77)</formula>
    </cfRule>
  </conditionalFormatting>
  <conditionalFormatting sqref="B43:C43">
    <cfRule type="expression" priority="19" dxfId="0" stopIfTrue="1">
      <formula>ISERROR(B43)</formula>
    </cfRule>
  </conditionalFormatting>
  <conditionalFormatting sqref="B59:C59">
    <cfRule type="expression" priority="20" dxfId="0" stopIfTrue="1">
      <formula>ISERROR(B59)</formula>
    </cfRule>
  </conditionalFormatting>
  <conditionalFormatting sqref="B66:C66">
    <cfRule type="expression" priority="21" dxfId="0" stopIfTrue="1">
      <formula>ISERROR(B66)</formula>
    </cfRule>
  </conditionalFormatting>
  <conditionalFormatting sqref="B71:C71">
    <cfRule type="expression" priority="22" dxfId="0" stopIfTrue="1">
      <formula>ISERROR(B71)</formula>
    </cfRule>
  </conditionalFormatting>
  <conditionalFormatting sqref="B13:C13">
    <cfRule type="expression" priority="23" dxfId="0" stopIfTrue="1">
      <formula>ISERROR(B13)</formula>
    </cfRule>
  </conditionalFormatting>
  <conditionalFormatting sqref="B93:C93">
    <cfRule type="expression" priority="24" dxfId="0" stopIfTrue="1">
      <formula>ISERROR(B93)</formula>
    </cfRule>
  </conditionalFormatting>
  <conditionalFormatting sqref="B96:C96">
    <cfRule type="expression" priority="25" dxfId="0" stopIfTrue="1">
      <formula>ISERROR(B96)</formula>
    </cfRule>
  </conditionalFormatting>
  <conditionalFormatting sqref="B137:C137">
    <cfRule type="expression" priority="26" dxfId="0" stopIfTrue="1">
      <formula>ISERROR(B137)</formula>
    </cfRule>
  </conditionalFormatting>
  <conditionalFormatting sqref="B138:C138">
    <cfRule type="expression" priority="27" dxfId="0" stopIfTrue="1">
      <formula>ISERROR(B138)</formula>
    </cfRule>
  </conditionalFormatting>
  <conditionalFormatting sqref="B45">
    <cfRule type="expression" priority="28" dxfId="0" stopIfTrue="1">
      <formula>ISERROR(B45)</formula>
    </cfRule>
  </conditionalFormatting>
  <conditionalFormatting sqref="B117:C117">
    <cfRule type="expression" priority="29" dxfId="0" stopIfTrue="1">
      <formula>ISERROR(B117)</formula>
    </cfRule>
  </conditionalFormatting>
  <conditionalFormatting sqref="B121:C121">
    <cfRule type="expression" priority="30" dxfId="0" stopIfTrue="1">
      <formula>ISERROR(B121)</formula>
    </cfRule>
  </conditionalFormatting>
  <conditionalFormatting sqref="B126:C126">
    <cfRule type="expression" priority="31" dxfId="0" stopIfTrue="1">
      <formula>ISERROR(B126)</formula>
    </cfRule>
  </conditionalFormatting>
  <conditionalFormatting sqref="B130:C130">
    <cfRule type="expression" priority="32" dxfId="0" stopIfTrue="1">
      <formula>ISERROR(B130)</formula>
    </cfRule>
  </conditionalFormatting>
  <conditionalFormatting sqref="B143:C143">
    <cfRule type="expression" priority="33" dxfId="0" stopIfTrue="1">
      <formula>ISERROR(B143)</formula>
    </cfRule>
  </conditionalFormatting>
  <printOptions horizontalCentered="1"/>
  <pageMargins left="0.7875" right="0.19652777777777777" top="0.39375" bottom="0.7868055555555555" header="0.5118055555555555" footer="0.19652777777777777"/>
  <pageSetup horizontalDpi="300" verticalDpi="300" orientation="portrait" paperSize="9" scale="56"/>
  <headerFooter alignWithMargins="0">
    <oddFooter>&amp;LPLANILHA B - Reforma do estacionamento, paisagismo, sistema de irrigação, adequação do SPCI e demais intervenções complementares
Campus de Timóteo do CEFET-MG&amp;RPágina &amp;P de &amp;N</oddFooter>
  </headerFooter>
  <rowBreaks count="1" manualBreakCount="1">
    <brk id="96" max="255" man="1"/>
  </rowBreaks>
  <drawing r:id="rId1"/>
</worksheet>
</file>

<file path=xl/worksheets/sheet5.xml><?xml version="1.0" encoding="utf-8"?>
<worksheet xmlns="http://schemas.openxmlformats.org/spreadsheetml/2006/main" xmlns:r="http://schemas.openxmlformats.org/officeDocument/2006/relationships">
  <sheetPr>
    <tabColor indexed="21"/>
  </sheetPr>
  <dimension ref="A1:I159"/>
  <sheetViews>
    <sheetView view="pageBreakPreview" zoomScaleSheetLayoutView="10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11.7109375" style="1" customWidth="1"/>
    <col min="2" max="2" width="70.7109375" style="2" customWidth="1"/>
    <col min="3" max="3" width="8.57421875" style="2" customWidth="1"/>
    <col min="4" max="4" width="10.28125" style="3" customWidth="1"/>
    <col min="5" max="5" width="16.421875" style="3" customWidth="1"/>
    <col min="6" max="6" width="21.421875" style="3" customWidth="1"/>
    <col min="7" max="7" width="2.7109375" style="95" customWidth="1"/>
    <col min="8" max="8" width="12.7109375" style="96" customWidth="1"/>
    <col min="9" max="9" width="12.7109375" style="97" customWidth="1"/>
    <col min="10" max="16384" width="9.140625" style="3" customWidth="1"/>
  </cols>
  <sheetData>
    <row r="1" spans="1:9" ht="12.75">
      <c r="A1" s="4"/>
      <c r="B1" s="5"/>
      <c r="C1" s="6"/>
      <c r="D1" s="7"/>
      <c r="E1" s="7"/>
      <c r="F1" s="8"/>
      <c r="H1" s="98"/>
      <c r="I1" s="99"/>
    </row>
    <row r="2" spans="1:6" ht="12.75">
      <c r="A2" s="9"/>
      <c r="B2" s="10"/>
      <c r="C2" s="11"/>
      <c r="D2" s="12"/>
      <c r="E2" s="12"/>
      <c r="F2" s="13"/>
    </row>
    <row r="3" spans="1:6" ht="12.75">
      <c r="A3" s="9"/>
      <c r="B3" s="10"/>
      <c r="C3" s="11"/>
      <c r="D3" s="12"/>
      <c r="E3" s="12"/>
      <c r="F3" s="13"/>
    </row>
    <row r="4" spans="1:6" ht="12.75">
      <c r="A4" s="9"/>
      <c r="B4" s="10"/>
      <c r="C4" s="11"/>
      <c r="D4" s="12"/>
      <c r="E4" s="12"/>
      <c r="F4" s="13"/>
    </row>
    <row r="5" spans="1:6" ht="12.75">
      <c r="A5" s="9"/>
      <c r="B5" s="10"/>
      <c r="C5" s="11"/>
      <c r="D5" s="12"/>
      <c r="E5" s="12"/>
      <c r="F5" s="13"/>
    </row>
    <row r="6" spans="1:6" ht="12.75">
      <c r="A6" s="9"/>
      <c r="B6" s="14"/>
      <c r="C6" s="15"/>
      <c r="D6" s="16"/>
      <c r="E6" s="16"/>
      <c r="F6" s="17"/>
    </row>
    <row r="7" spans="1:6" ht="12.75">
      <c r="A7" s="18"/>
      <c r="B7" s="19"/>
      <c r="C7" s="20"/>
      <c r="D7" s="21"/>
      <c r="E7" s="21"/>
      <c r="F7" s="22"/>
    </row>
    <row r="8" spans="1:9" ht="36" customHeight="1">
      <c r="A8" s="100" t="s">
        <v>398</v>
      </c>
      <c r="B8" s="100"/>
      <c r="C8" s="100"/>
      <c r="D8" s="100"/>
      <c r="E8" s="101" t="s">
        <v>36</v>
      </c>
      <c r="F8" s="102">
        <f>LDI!C45</f>
        <v>0.2592</v>
      </c>
      <c r="H8" s="103" t="s">
        <v>37</v>
      </c>
      <c r="I8" s="103"/>
    </row>
    <row r="9" spans="1:9" ht="36">
      <c r="A9" s="104" t="s">
        <v>38</v>
      </c>
      <c r="B9" s="104" t="s">
        <v>39</v>
      </c>
      <c r="C9" s="104" t="s">
        <v>40</v>
      </c>
      <c r="D9" s="105" t="s">
        <v>41</v>
      </c>
      <c r="E9" s="106" t="s">
        <v>42</v>
      </c>
      <c r="F9" s="105" t="s">
        <v>43</v>
      </c>
      <c r="H9" s="107" t="s">
        <v>44</v>
      </c>
      <c r="I9" s="108" t="s">
        <v>45</v>
      </c>
    </row>
    <row r="10" spans="1:9" ht="12.75">
      <c r="A10" s="109">
        <v>1</v>
      </c>
      <c r="B10" s="109" t="s">
        <v>399</v>
      </c>
      <c r="C10" s="110"/>
      <c r="D10" s="111"/>
      <c r="E10" s="112"/>
      <c r="F10" s="112">
        <f>F11+F20+F22+F24+F28</f>
        <v>13742.439999999999</v>
      </c>
      <c r="G10" s="113"/>
      <c r="H10" s="114"/>
      <c r="I10" s="115"/>
    </row>
    <row r="11" spans="1:9" ht="12.75">
      <c r="A11" s="116" t="s">
        <v>47</v>
      </c>
      <c r="B11" s="117" t="s">
        <v>400</v>
      </c>
      <c r="C11" s="118"/>
      <c r="D11" s="119"/>
      <c r="E11" s="120"/>
      <c r="F11" s="120">
        <f>SUM(F12:F19)</f>
        <v>1164.24</v>
      </c>
      <c r="H11" s="114"/>
      <c r="I11" s="115"/>
    </row>
    <row r="12" spans="1:9" s="126" customFormat="1" ht="33.75">
      <c r="A12" s="121" t="s">
        <v>49</v>
      </c>
      <c r="B12" s="132" t="s">
        <v>401</v>
      </c>
      <c r="C12" s="123" t="s">
        <v>86</v>
      </c>
      <c r="D12" s="131">
        <v>16</v>
      </c>
      <c r="E12" s="125">
        <v>27.5</v>
      </c>
      <c r="F12" s="125">
        <f aca="true" t="shared" si="0" ref="F12:F19">ROUND(D12*E12,2)</f>
        <v>440</v>
      </c>
      <c r="H12" s="114" t="s">
        <v>61</v>
      </c>
      <c r="I12" s="115" t="s">
        <v>402</v>
      </c>
    </row>
    <row r="13" spans="1:9" s="126" customFormat="1" ht="33.75">
      <c r="A13" s="121" t="s">
        <v>53</v>
      </c>
      <c r="B13" s="132" t="s">
        <v>403</v>
      </c>
      <c r="C13" s="123" t="s">
        <v>86</v>
      </c>
      <c r="D13" s="131">
        <v>3</v>
      </c>
      <c r="E13" s="125">
        <v>27.43</v>
      </c>
      <c r="F13" s="125">
        <f t="shared" si="0"/>
        <v>82.29</v>
      </c>
      <c r="H13" s="114" t="s">
        <v>61</v>
      </c>
      <c r="I13" s="115" t="s">
        <v>404</v>
      </c>
    </row>
    <row r="14" spans="1:9" s="126" customFormat="1" ht="33.75">
      <c r="A14" s="121" t="s">
        <v>58</v>
      </c>
      <c r="B14" s="132" t="s">
        <v>405</v>
      </c>
      <c r="C14" s="123" t="s">
        <v>86</v>
      </c>
      <c r="D14" s="131">
        <v>4</v>
      </c>
      <c r="E14" s="125">
        <v>27.29</v>
      </c>
      <c r="F14" s="125">
        <f t="shared" si="0"/>
        <v>109.16</v>
      </c>
      <c r="H14" s="114" t="s">
        <v>61</v>
      </c>
      <c r="I14" s="115" t="s">
        <v>406</v>
      </c>
    </row>
    <row r="15" spans="1:9" s="126" customFormat="1" ht="33.75">
      <c r="A15" s="121" t="s">
        <v>63</v>
      </c>
      <c r="B15" s="132" t="s">
        <v>407</v>
      </c>
      <c r="C15" s="123" t="s">
        <v>86</v>
      </c>
      <c r="D15" s="131">
        <v>2</v>
      </c>
      <c r="E15" s="125">
        <v>24.71</v>
      </c>
      <c r="F15" s="125">
        <f t="shared" si="0"/>
        <v>49.42</v>
      </c>
      <c r="H15" s="114" t="s">
        <v>61</v>
      </c>
      <c r="I15" s="115" t="s">
        <v>408</v>
      </c>
    </row>
    <row r="16" spans="1:9" s="126" customFormat="1" ht="33.75">
      <c r="A16" s="121" t="s">
        <v>66</v>
      </c>
      <c r="B16" s="132" t="s">
        <v>409</v>
      </c>
      <c r="C16" s="123" t="s">
        <v>86</v>
      </c>
      <c r="D16" s="131">
        <v>3</v>
      </c>
      <c r="E16" s="125">
        <v>24.66</v>
      </c>
      <c r="F16" s="125">
        <f t="shared" si="0"/>
        <v>73.98</v>
      </c>
      <c r="H16" s="114" t="s">
        <v>61</v>
      </c>
      <c r="I16" s="115" t="s">
        <v>410</v>
      </c>
    </row>
    <row r="17" spans="1:9" s="126" customFormat="1" ht="33.75">
      <c r="A17" s="121" t="s">
        <v>69</v>
      </c>
      <c r="B17" s="132" t="s">
        <v>411</v>
      </c>
      <c r="C17" s="123" t="s">
        <v>86</v>
      </c>
      <c r="D17" s="131">
        <v>11</v>
      </c>
      <c r="E17" s="125">
        <v>24.62</v>
      </c>
      <c r="F17" s="125">
        <f t="shared" si="0"/>
        <v>270.82</v>
      </c>
      <c r="H17" s="114" t="s">
        <v>61</v>
      </c>
      <c r="I17" s="115" t="s">
        <v>412</v>
      </c>
    </row>
    <row r="18" spans="1:9" s="126" customFormat="1" ht="25.5">
      <c r="A18" s="121" t="s">
        <v>413</v>
      </c>
      <c r="B18" s="132" t="s">
        <v>414</v>
      </c>
      <c r="C18" s="123" t="s">
        <v>86</v>
      </c>
      <c r="D18" s="131">
        <v>3</v>
      </c>
      <c r="E18" s="125">
        <v>23.84</v>
      </c>
      <c r="F18" s="125">
        <f t="shared" si="0"/>
        <v>71.52</v>
      </c>
      <c r="H18" s="114" t="s">
        <v>51</v>
      </c>
      <c r="I18" s="115" t="s">
        <v>415</v>
      </c>
    </row>
    <row r="19" spans="1:9" s="126" customFormat="1" ht="12.75">
      <c r="A19" s="121" t="s">
        <v>416</v>
      </c>
      <c r="B19" s="132" t="s">
        <v>417</v>
      </c>
      <c r="C19" s="123" t="s">
        <v>86</v>
      </c>
      <c r="D19" s="131">
        <v>3</v>
      </c>
      <c r="E19" s="125">
        <v>22.35</v>
      </c>
      <c r="F19" s="125">
        <f t="shared" si="0"/>
        <v>67.05</v>
      </c>
      <c r="H19" s="114" t="s">
        <v>51</v>
      </c>
      <c r="I19" s="115" t="s">
        <v>418</v>
      </c>
    </row>
    <row r="20" spans="1:9" ht="12.75">
      <c r="A20" s="116" t="s">
        <v>72</v>
      </c>
      <c r="B20" s="117" t="s">
        <v>419</v>
      </c>
      <c r="C20" s="118"/>
      <c r="D20" s="119"/>
      <c r="E20" s="120"/>
      <c r="F20" s="120">
        <f>SUM(F21)</f>
        <v>7089.66</v>
      </c>
      <c r="H20" s="114"/>
      <c r="I20" s="115"/>
    </row>
    <row r="21" spans="1:9" s="126" customFormat="1" ht="114.75">
      <c r="A21" s="121" t="s">
        <v>74</v>
      </c>
      <c r="B21" s="122" t="s">
        <v>420</v>
      </c>
      <c r="C21" s="123" t="s">
        <v>86</v>
      </c>
      <c r="D21" s="154">
        <v>3</v>
      </c>
      <c r="E21" s="125">
        <v>2363.22</v>
      </c>
      <c r="F21" s="125">
        <f>ROUND(D21*E21,2)</f>
        <v>7089.66</v>
      </c>
      <c r="H21" s="114" t="s">
        <v>51</v>
      </c>
      <c r="I21" s="115" t="s">
        <v>421</v>
      </c>
    </row>
    <row r="22" spans="1:9" ht="12.75">
      <c r="A22" s="116" t="s">
        <v>91</v>
      </c>
      <c r="B22" s="117" t="s">
        <v>422</v>
      </c>
      <c r="C22" s="118"/>
      <c r="D22" s="119"/>
      <c r="E22" s="120"/>
      <c r="F22" s="120">
        <f>SUM(F23)</f>
        <v>3073.73</v>
      </c>
      <c r="H22" s="114"/>
      <c r="I22" s="115"/>
    </row>
    <row r="23" spans="1:9" s="126" customFormat="1" ht="25.5">
      <c r="A23" s="121" t="s">
        <v>93</v>
      </c>
      <c r="B23" s="122" t="s">
        <v>423</v>
      </c>
      <c r="C23" s="123" t="s">
        <v>86</v>
      </c>
      <c r="D23" s="154">
        <v>11</v>
      </c>
      <c r="E23" s="125">
        <v>279.43</v>
      </c>
      <c r="F23" s="125">
        <f>ROUND(D23*E23,2)</f>
        <v>3073.73</v>
      </c>
      <c r="H23" s="114" t="s">
        <v>125</v>
      </c>
      <c r="I23" s="115">
        <v>101909</v>
      </c>
    </row>
    <row r="24" spans="1:9" ht="12.75">
      <c r="A24" s="116" t="s">
        <v>102</v>
      </c>
      <c r="B24" s="117" t="s">
        <v>424</v>
      </c>
      <c r="C24" s="118"/>
      <c r="D24" s="119"/>
      <c r="E24" s="120"/>
      <c r="F24" s="120">
        <f>SUM(F25:F27)</f>
        <v>1423.43</v>
      </c>
      <c r="H24" s="114"/>
      <c r="I24" s="115"/>
    </row>
    <row r="25" spans="1:9" s="126" customFormat="1" ht="89.25">
      <c r="A25" s="121" t="s">
        <v>104</v>
      </c>
      <c r="B25" s="132" t="s">
        <v>425</v>
      </c>
      <c r="C25" s="129" t="s">
        <v>86</v>
      </c>
      <c r="D25" s="131">
        <v>1</v>
      </c>
      <c r="E25" s="125">
        <v>750.11</v>
      </c>
      <c r="F25" s="125">
        <f aca="true" t="shared" si="1" ref="F25:F27">ROUND(D25*E25,2)</f>
        <v>750.11</v>
      </c>
      <c r="H25" s="114" t="s">
        <v>51</v>
      </c>
      <c r="I25" s="115" t="s">
        <v>426</v>
      </c>
    </row>
    <row r="26" spans="1:9" s="126" customFormat="1" ht="33.75">
      <c r="A26" s="121" t="s">
        <v>107</v>
      </c>
      <c r="B26" s="132" t="s">
        <v>427</v>
      </c>
      <c r="C26" s="129" t="s">
        <v>86</v>
      </c>
      <c r="D26" s="131">
        <v>3</v>
      </c>
      <c r="E26" s="125">
        <v>148.66</v>
      </c>
      <c r="F26" s="125">
        <f t="shared" si="1"/>
        <v>445.98</v>
      </c>
      <c r="H26" s="114" t="s">
        <v>61</v>
      </c>
      <c r="I26" s="115" t="s">
        <v>428</v>
      </c>
    </row>
    <row r="27" spans="1:9" s="126" customFormat="1" ht="33.75">
      <c r="A27" s="121" t="s">
        <v>110</v>
      </c>
      <c r="B27" s="132" t="s">
        <v>429</v>
      </c>
      <c r="C27" s="129" t="s">
        <v>86</v>
      </c>
      <c r="D27" s="131">
        <v>3</v>
      </c>
      <c r="E27" s="125">
        <v>75.78</v>
      </c>
      <c r="F27" s="125">
        <f t="shared" si="1"/>
        <v>227.34</v>
      </c>
      <c r="H27" s="114" t="s">
        <v>61</v>
      </c>
      <c r="I27" s="115" t="s">
        <v>430</v>
      </c>
    </row>
    <row r="28" spans="1:9" ht="12.75">
      <c r="A28" s="116" t="s">
        <v>431</v>
      </c>
      <c r="B28" s="117" t="s">
        <v>432</v>
      </c>
      <c r="C28" s="118"/>
      <c r="D28" s="119"/>
      <c r="E28" s="120"/>
      <c r="F28" s="120">
        <f>SUM(F29)</f>
        <v>991.38</v>
      </c>
      <c r="H28" s="114"/>
      <c r="I28" s="115"/>
    </row>
    <row r="29" spans="1:9" s="126" customFormat="1" ht="25.5">
      <c r="A29" s="121" t="s">
        <v>433</v>
      </c>
      <c r="B29" s="122" t="s">
        <v>434</v>
      </c>
      <c r="C29" s="123" t="s">
        <v>86</v>
      </c>
      <c r="D29" s="154">
        <v>26</v>
      </c>
      <c r="E29" s="125">
        <v>38.13</v>
      </c>
      <c r="F29" s="125">
        <f>ROUND(D29*E29,2)</f>
        <v>991.38</v>
      </c>
      <c r="H29" s="114" t="s">
        <v>125</v>
      </c>
      <c r="I29" s="115">
        <v>97599</v>
      </c>
    </row>
    <row r="30" spans="1:9" ht="12.75">
      <c r="A30" s="109">
        <v>2</v>
      </c>
      <c r="B30" s="109" t="s">
        <v>435</v>
      </c>
      <c r="C30" s="110"/>
      <c r="D30" s="111"/>
      <c r="E30" s="112"/>
      <c r="F30" s="112">
        <f>F31+F48+F51+F54+F58</f>
        <v>19063.9</v>
      </c>
      <c r="G30" s="113"/>
      <c r="H30" s="114"/>
      <c r="I30" s="115"/>
    </row>
    <row r="31" spans="1:9" ht="12.75">
      <c r="A31" s="116" t="s">
        <v>151</v>
      </c>
      <c r="B31" s="117" t="s">
        <v>400</v>
      </c>
      <c r="C31" s="118"/>
      <c r="D31" s="119"/>
      <c r="E31" s="120"/>
      <c r="F31" s="120">
        <f>SUM(F32:F47)</f>
        <v>1850.72</v>
      </c>
      <c r="H31" s="114"/>
      <c r="I31" s="115"/>
    </row>
    <row r="32" spans="1:9" s="126" customFormat="1" ht="33.75">
      <c r="A32" s="121" t="s">
        <v>153</v>
      </c>
      <c r="B32" s="132" t="s">
        <v>401</v>
      </c>
      <c r="C32" s="123" t="s">
        <v>86</v>
      </c>
      <c r="D32" s="131">
        <v>7</v>
      </c>
      <c r="E32" s="125">
        <v>27.5</v>
      </c>
      <c r="F32" s="125">
        <f aca="true" t="shared" si="2" ref="F32:F47">ROUND(D32*E32,2)</f>
        <v>192.5</v>
      </c>
      <c r="H32" s="114" t="s">
        <v>61</v>
      </c>
      <c r="I32" s="115" t="s">
        <v>402</v>
      </c>
    </row>
    <row r="33" spans="1:9" s="126" customFormat="1" ht="38.25">
      <c r="A33" s="121" t="s">
        <v>155</v>
      </c>
      <c r="B33" s="132" t="s">
        <v>436</v>
      </c>
      <c r="C33" s="123" t="s">
        <v>86</v>
      </c>
      <c r="D33" s="131">
        <v>7</v>
      </c>
      <c r="E33" s="125">
        <v>27.5</v>
      </c>
      <c r="F33" s="125">
        <f t="shared" si="2"/>
        <v>192.5</v>
      </c>
      <c r="H33" s="114" t="s">
        <v>61</v>
      </c>
      <c r="I33" s="115" t="s">
        <v>402</v>
      </c>
    </row>
    <row r="34" spans="1:9" s="126" customFormat="1" ht="33.75">
      <c r="A34" s="121" t="s">
        <v>158</v>
      </c>
      <c r="B34" s="132" t="s">
        <v>403</v>
      </c>
      <c r="C34" s="123" t="s">
        <v>86</v>
      </c>
      <c r="D34" s="131">
        <v>1</v>
      </c>
      <c r="E34" s="125">
        <v>27.43</v>
      </c>
      <c r="F34" s="125">
        <f t="shared" si="2"/>
        <v>27.43</v>
      </c>
      <c r="H34" s="114" t="s">
        <v>61</v>
      </c>
      <c r="I34" s="115" t="s">
        <v>404</v>
      </c>
    </row>
    <row r="35" spans="1:9" s="126" customFormat="1" ht="33.75">
      <c r="A35" s="121" t="s">
        <v>161</v>
      </c>
      <c r="B35" s="132" t="s">
        <v>405</v>
      </c>
      <c r="C35" s="123" t="s">
        <v>86</v>
      </c>
      <c r="D35" s="131">
        <v>2</v>
      </c>
      <c r="E35" s="125">
        <v>27.29</v>
      </c>
      <c r="F35" s="125">
        <f t="shared" si="2"/>
        <v>54.58</v>
      </c>
      <c r="H35" s="114" t="s">
        <v>61</v>
      </c>
      <c r="I35" s="115" t="s">
        <v>406</v>
      </c>
    </row>
    <row r="36" spans="1:9" s="126" customFormat="1" ht="33.75">
      <c r="A36" s="121" t="s">
        <v>437</v>
      </c>
      <c r="B36" s="132" t="s">
        <v>438</v>
      </c>
      <c r="C36" s="123" t="s">
        <v>86</v>
      </c>
      <c r="D36" s="131">
        <v>1</v>
      </c>
      <c r="E36" s="125">
        <v>42.01</v>
      </c>
      <c r="F36" s="125">
        <f t="shared" si="2"/>
        <v>42.01</v>
      </c>
      <c r="H36" s="114" t="s">
        <v>61</v>
      </c>
      <c r="I36" s="115" t="s">
        <v>439</v>
      </c>
    </row>
    <row r="37" spans="1:9" s="126" customFormat="1" ht="33.75">
      <c r="A37" s="121" t="s">
        <v>440</v>
      </c>
      <c r="B37" s="132" t="s">
        <v>441</v>
      </c>
      <c r="C37" s="123" t="s">
        <v>86</v>
      </c>
      <c r="D37" s="131">
        <v>1</v>
      </c>
      <c r="E37" s="125">
        <v>42.01</v>
      </c>
      <c r="F37" s="125">
        <f t="shared" si="2"/>
        <v>42.01</v>
      </c>
      <c r="H37" s="114" t="s">
        <v>61</v>
      </c>
      <c r="I37" s="115" t="s">
        <v>439</v>
      </c>
    </row>
    <row r="38" spans="1:9" s="126" customFormat="1" ht="33.75">
      <c r="A38" s="121" t="s">
        <v>442</v>
      </c>
      <c r="B38" s="132" t="s">
        <v>443</v>
      </c>
      <c r="C38" s="123" t="s">
        <v>86</v>
      </c>
      <c r="D38" s="131">
        <v>1</v>
      </c>
      <c r="E38" s="125">
        <v>24.71</v>
      </c>
      <c r="F38" s="125">
        <f t="shared" si="2"/>
        <v>24.71</v>
      </c>
      <c r="H38" s="114" t="s">
        <v>61</v>
      </c>
      <c r="I38" s="115" t="s">
        <v>408</v>
      </c>
    </row>
    <row r="39" spans="1:9" s="126" customFormat="1" ht="33.75">
      <c r="A39" s="121" t="s">
        <v>444</v>
      </c>
      <c r="B39" s="132" t="s">
        <v>445</v>
      </c>
      <c r="C39" s="123" t="s">
        <v>86</v>
      </c>
      <c r="D39" s="131">
        <v>1</v>
      </c>
      <c r="E39" s="125">
        <v>24.71</v>
      </c>
      <c r="F39" s="125">
        <f t="shared" si="2"/>
        <v>24.71</v>
      </c>
      <c r="H39" s="114" t="s">
        <v>61</v>
      </c>
      <c r="I39" s="115" t="s">
        <v>408</v>
      </c>
    </row>
    <row r="40" spans="1:9" s="126" customFormat="1" ht="33.75">
      <c r="A40" s="121" t="s">
        <v>446</v>
      </c>
      <c r="B40" s="132" t="s">
        <v>407</v>
      </c>
      <c r="C40" s="123" t="s">
        <v>86</v>
      </c>
      <c r="D40" s="131">
        <v>2</v>
      </c>
      <c r="E40" s="125">
        <v>24.71</v>
      </c>
      <c r="F40" s="125">
        <f t="shared" si="2"/>
        <v>49.42</v>
      </c>
      <c r="H40" s="114" t="s">
        <v>61</v>
      </c>
      <c r="I40" s="115" t="s">
        <v>408</v>
      </c>
    </row>
    <row r="41" spans="1:9" s="126" customFormat="1" ht="38.25">
      <c r="A41" s="121" t="s">
        <v>447</v>
      </c>
      <c r="B41" s="132" t="s">
        <v>448</v>
      </c>
      <c r="C41" s="123" t="s">
        <v>86</v>
      </c>
      <c r="D41" s="131">
        <v>1</v>
      </c>
      <c r="E41" s="125">
        <v>84.18</v>
      </c>
      <c r="F41" s="125">
        <f t="shared" si="2"/>
        <v>84.18</v>
      </c>
      <c r="H41" s="114" t="s">
        <v>51</v>
      </c>
      <c r="I41" s="115" t="s">
        <v>449</v>
      </c>
    </row>
    <row r="42" spans="1:9" s="126" customFormat="1" ht="38.25">
      <c r="A42" s="121" t="s">
        <v>450</v>
      </c>
      <c r="B42" s="132" t="s">
        <v>451</v>
      </c>
      <c r="C42" s="123" t="s">
        <v>86</v>
      </c>
      <c r="D42" s="131">
        <v>1</v>
      </c>
      <c r="E42" s="125">
        <v>62.83</v>
      </c>
      <c r="F42" s="125">
        <f t="shared" si="2"/>
        <v>62.83</v>
      </c>
      <c r="H42" s="114" t="s">
        <v>51</v>
      </c>
      <c r="I42" s="115" t="s">
        <v>452</v>
      </c>
    </row>
    <row r="43" spans="1:9" s="126" customFormat="1" ht="25.5">
      <c r="A43" s="121" t="s">
        <v>453</v>
      </c>
      <c r="B43" s="132" t="s">
        <v>454</v>
      </c>
      <c r="C43" s="123" t="s">
        <v>86</v>
      </c>
      <c r="D43" s="131">
        <v>2</v>
      </c>
      <c r="E43" s="125">
        <v>34.25</v>
      </c>
      <c r="F43" s="125">
        <f t="shared" si="2"/>
        <v>68.5</v>
      </c>
      <c r="H43" s="114" t="s">
        <v>51</v>
      </c>
      <c r="I43" s="115" t="s">
        <v>455</v>
      </c>
    </row>
    <row r="44" spans="1:9" s="126" customFormat="1" ht="33.75">
      <c r="A44" s="121" t="s">
        <v>456</v>
      </c>
      <c r="B44" s="132" t="s">
        <v>409</v>
      </c>
      <c r="C44" s="123" t="s">
        <v>86</v>
      </c>
      <c r="D44" s="131">
        <v>8</v>
      </c>
      <c r="E44" s="125">
        <v>24.66</v>
      </c>
      <c r="F44" s="125">
        <f t="shared" si="2"/>
        <v>197.28</v>
      </c>
      <c r="H44" s="114" t="s">
        <v>61</v>
      </c>
      <c r="I44" s="115" t="s">
        <v>410</v>
      </c>
    </row>
    <row r="45" spans="1:9" s="126" customFormat="1" ht="33.75">
      <c r="A45" s="121" t="s">
        <v>457</v>
      </c>
      <c r="B45" s="132" t="s">
        <v>411</v>
      </c>
      <c r="C45" s="123" t="s">
        <v>86</v>
      </c>
      <c r="D45" s="131">
        <v>17</v>
      </c>
      <c r="E45" s="125">
        <v>24.62</v>
      </c>
      <c r="F45" s="125">
        <f t="shared" si="2"/>
        <v>418.54</v>
      </c>
      <c r="H45" s="114" t="s">
        <v>61</v>
      </c>
      <c r="I45" s="115" t="s">
        <v>412</v>
      </c>
    </row>
    <row r="46" spans="1:9" s="126" customFormat="1" ht="25.5">
      <c r="A46" s="121" t="s">
        <v>458</v>
      </c>
      <c r="B46" s="132" t="s">
        <v>414</v>
      </c>
      <c r="C46" s="123" t="s">
        <v>86</v>
      </c>
      <c r="D46" s="131">
        <v>8</v>
      </c>
      <c r="E46" s="125">
        <v>23.84</v>
      </c>
      <c r="F46" s="125">
        <f t="shared" si="2"/>
        <v>190.72</v>
      </c>
      <c r="H46" s="114" t="s">
        <v>51</v>
      </c>
      <c r="I46" s="115" t="s">
        <v>415</v>
      </c>
    </row>
    <row r="47" spans="1:9" s="126" customFormat="1" ht="12.75">
      <c r="A47" s="121" t="s">
        <v>459</v>
      </c>
      <c r="B47" s="132" t="s">
        <v>417</v>
      </c>
      <c r="C47" s="123" t="s">
        <v>86</v>
      </c>
      <c r="D47" s="131">
        <v>8</v>
      </c>
      <c r="E47" s="125">
        <v>22.35</v>
      </c>
      <c r="F47" s="125">
        <f t="shared" si="2"/>
        <v>178.8</v>
      </c>
      <c r="H47" s="114" t="s">
        <v>51</v>
      </c>
      <c r="I47" s="115" t="s">
        <v>418</v>
      </c>
    </row>
    <row r="48" spans="1:9" ht="12.75">
      <c r="A48" s="116" t="s">
        <v>163</v>
      </c>
      <c r="B48" s="117" t="s">
        <v>419</v>
      </c>
      <c r="C48" s="118"/>
      <c r="D48" s="119"/>
      <c r="E48" s="120"/>
      <c r="F48" s="120">
        <f>SUM(F49:F50)</f>
        <v>7893.410000000001</v>
      </c>
      <c r="H48" s="114"/>
      <c r="I48" s="115"/>
    </row>
    <row r="49" spans="1:9" s="126" customFormat="1" ht="38.25">
      <c r="A49" s="121" t="s">
        <v>166</v>
      </c>
      <c r="B49" s="122" t="s">
        <v>460</v>
      </c>
      <c r="C49" s="123" t="s">
        <v>86</v>
      </c>
      <c r="D49" s="131">
        <v>16</v>
      </c>
      <c r="E49" s="125">
        <v>458.41</v>
      </c>
      <c r="F49" s="125">
        <f aca="true" t="shared" si="3" ref="F49:F50">ROUND(D49*E49,2)</f>
        <v>7334.56</v>
      </c>
      <c r="H49" s="114" t="s">
        <v>51</v>
      </c>
      <c r="I49" s="115" t="s">
        <v>461</v>
      </c>
    </row>
    <row r="50" spans="1:9" s="126" customFormat="1" ht="25.5">
      <c r="A50" s="121" t="s">
        <v>169</v>
      </c>
      <c r="B50" s="122" t="s">
        <v>462</v>
      </c>
      <c r="C50" s="123" t="s">
        <v>86</v>
      </c>
      <c r="D50" s="154">
        <v>5</v>
      </c>
      <c r="E50" s="125">
        <v>111.77</v>
      </c>
      <c r="F50" s="125">
        <f t="shared" si="3"/>
        <v>558.85</v>
      </c>
      <c r="H50" s="114" t="s">
        <v>51</v>
      </c>
      <c r="I50" s="115" t="s">
        <v>463</v>
      </c>
    </row>
    <row r="51" spans="1:9" ht="12.75">
      <c r="A51" s="116" t="s">
        <v>222</v>
      </c>
      <c r="B51" s="117" t="s">
        <v>422</v>
      </c>
      <c r="C51" s="118"/>
      <c r="D51" s="119"/>
      <c r="E51" s="120"/>
      <c r="F51" s="120">
        <f>SUM(F52:F53)</f>
        <v>5706.5</v>
      </c>
      <c r="H51" s="114"/>
      <c r="I51" s="115"/>
    </row>
    <row r="52" spans="1:9" s="126" customFormat="1" ht="25.5">
      <c r="A52" s="121" t="s">
        <v>224</v>
      </c>
      <c r="B52" s="122" t="s">
        <v>423</v>
      </c>
      <c r="C52" s="123" t="s">
        <v>86</v>
      </c>
      <c r="D52" s="154">
        <v>17</v>
      </c>
      <c r="E52" s="125">
        <v>279.43</v>
      </c>
      <c r="F52" s="125">
        <f aca="true" t="shared" si="4" ref="F52:F53">ROUND(D52*E52,2)</f>
        <v>4750.31</v>
      </c>
      <c r="H52" s="114" t="s">
        <v>125</v>
      </c>
      <c r="I52" s="115">
        <v>101909</v>
      </c>
    </row>
    <row r="53" spans="1:9" s="126" customFormat="1" ht="38.25">
      <c r="A53" s="121" t="s">
        <v>227</v>
      </c>
      <c r="B53" s="122" t="s">
        <v>464</v>
      </c>
      <c r="C53" s="123" t="s">
        <v>86</v>
      </c>
      <c r="D53" s="154">
        <v>3</v>
      </c>
      <c r="E53" s="125">
        <v>318.73</v>
      </c>
      <c r="F53" s="125">
        <f t="shared" si="4"/>
        <v>956.19</v>
      </c>
      <c r="H53" s="114" t="s">
        <v>51</v>
      </c>
      <c r="I53" s="115" t="s">
        <v>465</v>
      </c>
    </row>
    <row r="54" spans="1:9" ht="12.75">
      <c r="A54" s="116" t="s">
        <v>232</v>
      </c>
      <c r="B54" s="117" t="s">
        <v>424</v>
      </c>
      <c r="C54" s="118"/>
      <c r="D54" s="119"/>
      <c r="E54" s="120"/>
      <c r="F54" s="120">
        <f>SUM(F55:F57)</f>
        <v>2545.63</v>
      </c>
      <c r="H54" s="114"/>
      <c r="I54" s="115"/>
    </row>
    <row r="55" spans="1:9" s="126" customFormat="1" ht="89.25">
      <c r="A55" s="121" t="s">
        <v>234</v>
      </c>
      <c r="B55" s="132" t="s">
        <v>425</v>
      </c>
      <c r="C55" s="129" t="s">
        <v>86</v>
      </c>
      <c r="D55" s="131">
        <v>1</v>
      </c>
      <c r="E55" s="125">
        <v>750.11</v>
      </c>
      <c r="F55" s="125">
        <f aca="true" t="shared" si="5" ref="F55:F57">ROUND(D55*E55,2)</f>
        <v>750.11</v>
      </c>
      <c r="H55" s="114" t="s">
        <v>51</v>
      </c>
      <c r="I55" s="115" t="s">
        <v>426</v>
      </c>
    </row>
    <row r="56" spans="1:9" s="126" customFormat="1" ht="33.75">
      <c r="A56" s="121" t="s">
        <v>237</v>
      </c>
      <c r="B56" s="132" t="s">
        <v>427</v>
      </c>
      <c r="C56" s="129" t="s">
        <v>86</v>
      </c>
      <c r="D56" s="131">
        <v>8</v>
      </c>
      <c r="E56" s="125">
        <v>148.66</v>
      </c>
      <c r="F56" s="125">
        <f t="shared" si="5"/>
        <v>1189.28</v>
      </c>
      <c r="H56" s="114" t="s">
        <v>61</v>
      </c>
      <c r="I56" s="115" t="s">
        <v>428</v>
      </c>
    </row>
    <row r="57" spans="1:9" s="126" customFormat="1" ht="33.75">
      <c r="A57" s="121" t="s">
        <v>238</v>
      </c>
      <c r="B57" s="132" t="s">
        <v>429</v>
      </c>
      <c r="C57" s="129" t="s">
        <v>86</v>
      </c>
      <c r="D57" s="131">
        <v>8</v>
      </c>
      <c r="E57" s="125">
        <v>75.78</v>
      </c>
      <c r="F57" s="125">
        <f t="shared" si="5"/>
        <v>606.24</v>
      </c>
      <c r="H57" s="114" t="s">
        <v>61</v>
      </c>
      <c r="I57" s="115" t="s">
        <v>430</v>
      </c>
    </row>
    <row r="58" spans="1:9" ht="12.75">
      <c r="A58" s="116" t="s">
        <v>250</v>
      </c>
      <c r="B58" s="117" t="s">
        <v>432</v>
      </c>
      <c r="C58" s="118"/>
      <c r="D58" s="119"/>
      <c r="E58" s="120"/>
      <c r="F58" s="120">
        <f>SUM(F59)</f>
        <v>1067.64</v>
      </c>
      <c r="H58" s="114"/>
      <c r="I58" s="115"/>
    </row>
    <row r="59" spans="1:9" s="126" customFormat="1" ht="25.5">
      <c r="A59" s="121" t="s">
        <v>252</v>
      </c>
      <c r="B59" s="122" t="s">
        <v>434</v>
      </c>
      <c r="C59" s="123" t="s">
        <v>86</v>
      </c>
      <c r="D59" s="154">
        <v>28</v>
      </c>
      <c r="E59" s="125">
        <v>38.13</v>
      </c>
      <c r="F59" s="125">
        <f>ROUND(D59*E59,2)</f>
        <v>1067.64</v>
      </c>
      <c r="H59" s="114" t="s">
        <v>125</v>
      </c>
      <c r="I59" s="115">
        <v>97599</v>
      </c>
    </row>
    <row r="60" spans="1:9" ht="12.75">
      <c r="A60" s="109">
        <v>3</v>
      </c>
      <c r="B60" s="109" t="s">
        <v>466</v>
      </c>
      <c r="C60" s="110"/>
      <c r="D60" s="111"/>
      <c r="E60" s="112"/>
      <c r="F60" s="112">
        <f>F61+F63</f>
        <v>215.27</v>
      </c>
      <c r="G60" s="113"/>
      <c r="H60" s="114"/>
      <c r="I60" s="115"/>
    </row>
    <row r="61" spans="1:9" ht="12.75">
      <c r="A61" s="116" t="s">
        <v>291</v>
      </c>
      <c r="B61" s="117" t="s">
        <v>400</v>
      </c>
      <c r="C61" s="118"/>
      <c r="D61" s="119"/>
      <c r="E61" s="120"/>
      <c r="F61" s="120">
        <f>SUM(F62)</f>
        <v>24.62</v>
      </c>
      <c r="H61" s="114"/>
      <c r="I61" s="115"/>
    </row>
    <row r="62" spans="1:9" s="126" customFormat="1" ht="33.75">
      <c r="A62" s="121" t="s">
        <v>294</v>
      </c>
      <c r="B62" s="132" t="s">
        <v>411</v>
      </c>
      <c r="C62" s="123" t="s">
        <v>86</v>
      </c>
      <c r="D62" s="131">
        <v>1</v>
      </c>
      <c r="E62" s="125">
        <v>24.62</v>
      </c>
      <c r="F62" s="125">
        <f>ROUND(D62*E62,2)</f>
        <v>24.62</v>
      </c>
      <c r="H62" s="114" t="s">
        <v>61</v>
      </c>
      <c r="I62" s="115" t="s">
        <v>412</v>
      </c>
    </row>
    <row r="63" spans="1:9" ht="12.75">
      <c r="A63" s="116" t="s">
        <v>320</v>
      </c>
      <c r="B63" s="117" t="s">
        <v>432</v>
      </c>
      <c r="C63" s="118"/>
      <c r="D63" s="119"/>
      <c r="E63" s="120"/>
      <c r="F63" s="120">
        <f>SUM(F64)</f>
        <v>190.65</v>
      </c>
      <c r="H63" s="114"/>
      <c r="I63" s="115"/>
    </row>
    <row r="64" spans="1:9" s="126" customFormat="1" ht="25.5">
      <c r="A64" s="121" t="s">
        <v>322</v>
      </c>
      <c r="B64" s="122" t="s">
        <v>434</v>
      </c>
      <c r="C64" s="123" t="s">
        <v>86</v>
      </c>
      <c r="D64" s="154">
        <v>5</v>
      </c>
      <c r="E64" s="125">
        <v>38.13</v>
      </c>
      <c r="F64" s="125">
        <f>ROUND(D64*E64,2)</f>
        <v>190.65</v>
      </c>
      <c r="H64" s="114" t="s">
        <v>125</v>
      </c>
      <c r="I64" s="115">
        <v>97599</v>
      </c>
    </row>
    <row r="65" spans="1:9" ht="12.75">
      <c r="A65" s="109">
        <v>4</v>
      </c>
      <c r="B65" s="109" t="s">
        <v>467</v>
      </c>
      <c r="C65" s="110"/>
      <c r="D65" s="111"/>
      <c r="E65" s="112"/>
      <c r="F65" s="112">
        <f>F66+F68+F70</f>
        <v>1477.01</v>
      </c>
      <c r="G65" s="113"/>
      <c r="H65" s="114"/>
      <c r="I65" s="115"/>
    </row>
    <row r="66" spans="1:9" ht="12.75">
      <c r="A66" s="116" t="s">
        <v>380</v>
      </c>
      <c r="B66" s="117" t="s">
        <v>400</v>
      </c>
      <c r="C66" s="118"/>
      <c r="D66" s="119"/>
      <c r="E66" s="120"/>
      <c r="F66" s="120">
        <f>SUM(F67)</f>
        <v>49.24</v>
      </c>
      <c r="H66" s="114"/>
      <c r="I66" s="115"/>
    </row>
    <row r="67" spans="1:9" s="126" customFormat="1" ht="33.75">
      <c r="A67" s="121" t="s">
        <v>382</v>
      </c>
      <c r="B67" s="132" t="s">
        <v>411</v>
      </c>
      <c r="C67" s="123" t="s">
        <v>86</v>
      </c>
      <c r="D67" s="131">
        <v>2</v>
      </c>
      <c r="E67" s="125">
        <v>24.62</v>
      </c>
      <c r="F67" s="125">
        <f>ROUND(D67*E67,2)</f>
        <v>49.24</v>
      </c>
      <c r="H67" s="114" t="s">
        <v>61</v>
      </c>
      <c r="I67" s="115" t="s">
        <v>412</v>
      </c>
    </row>
    <row r="68" spans="1:9" ht="12.75">
      <c r="A68" s="116" t="s">
        <v>384</v>
      </c>
      <c r="B68" s="117" t="s">
        <v>422</v>
      </c>
      <c r="C68" s="118"/>
      <c r="D68" s="119"/>
      <c r="E68" s="120"/>
      <c r="F68" s="120">
        <f>SUM(F69)</f>
        <v>558.86</v>
      </c>
      <c r="H68" s="114"/>
      <c r="I68" s="115"/>
    </row>
    <row r="69" spans="1:9" s="126" customFormat="1" ht="25.5">
      <c r="A69" s="121" t="s">
        <v>386</v>
      </c>
      <c r="B69" s="122" t="s">
        <v>423</v>
      </c>
      <c r="C69" s="123" t="s">
        <v>86</v>
      </c>
      <c r="D69" s="154">
        <v>2</v>
      </c>
      <c r="E69" s="125">
        <v>279.43</v>
      </c>
      <c r="F69" s="125">
        <f>ROUND(D69*E69,2)</f>
        <v>558.86</v>
      </c>
      <c r="H69" s="114" t="s">
        <v>125</v>
      </c>
      <c r="I69" s="115">
        <v>101909</v>
      </c>
    </row>
    <row r="70" spans="1:9" ht="12.75">
      <c r="A70" s="116" t="s">
        <v>468</v>
      </c>
      <c r="B70" s="117" t="s">
        <v>432</v>
      </c>
      <c r="C70" s="118"/>
      <c r="D70" s="119"/>
      <c r="E70" s="120"/>
      <c r="F70" s="120">
        <f>SUM(F71:F72)</f>
        <v>868.91</v>
      </c>
      <c r="H70" s="114"/>
      <c r="I70" s="115"/>
    </row>
    <row r="71" spans="1:9" s="126" customFormat="1" ht="25.5">
      <c r="A71" s="121" t="s">
        <v>469</v>
      </c>
      <c r="B71" s="122" t="s">
        <v>434</v>
      </c>
      <c r="C71" s="123" t="s">
        <v>86</v>
      </c>
      <c r="D71" s="154">
        <v>3</v>
      </c>
      <c r="E71" s="125">
        <v>38.13</v>
      </c>
      <c r="F71" s="125">
        <f aca="true" t="shared" si="6" ref="F71:F72">ROUND(D71*E71,2)</f>
        <v>114.39</v>
      </c>
      <c r="H71" s="114" t="s">
        <v>125</v>
      </c>
      <c r="I71" s="115">
        <v>97599</v>
      </c>
    </row>
    <row r="72" spans="1:9" s="126" customFormat="1" ht="25.5">
      <c r="A72" s="121" t="s">
        <v>470</v>
      </c>
      <c r="B72" s="122" t="s">
        <v>471</v>
      </c>
      <c r="C72" s="123" t="s">
        <v>86</v>
      </c>
      <c r="D72" s="154">
        <v>4</v>
      </c>
      <c r="E72" s="125">
        <v>188.63</v>
      </c>
      <c r="F72" s="125">
        <f t="shared" si="6"/>
        <v>754.52</v>
      </c>
      <c r="H72" s="114" t="s">
        <v>51</v>
      </c>
      <c r="I72" s="115" t="s">
        <v>472</v>
      </c>
    </row>
    <row r="73" spans="1:9" ht="12.75">
      <c r="A73" s="109">
        <v>5</v>
      </c>
      <c r="B73" s="109" t="s">
        <v>473</v>
      </c>
      <c r="C73" s="110"/>
      <c r="D73" s="111"/>
      <c r="E73" s="112"/>
      <c r="F73" s="112">
        <f>F74+F76+F88+F91+F93</f>
        <v>17827.67</v>
      </c>
      <c r="G73" s="113"/>
      <c r="H73" s="114"/>
      <c r="I73" s="115"/>
    </row>
    <row r="74" spans="1:9" ht="12.75">
      <c r="A74" s="116" t="s">
        <v>390</v>
      </c>
      <c r="B74" s="117" t="s">
        <v>400</v>
      </c>
      <c r="C74" s="118"/>
      <c r="D74" s="119"/>
      <c r="E74" s="120"/>
      <c r="F74" s="120">
        <f>SUM(F75)</f>
        <v>24.62</v>
      </c>
      <c r="H74" s="114"/>
      <c r="I74" s="115"/>
    </row>
    <row r="75" spans="1:9" s="126" customFormat="1" ht="33.75">
      <c r="A75" s="121" t="s">
        <v>392</v>
      </c>
      <c r="B75" s="132" t="s">
        <v>411</v>
      </c>
      <c r="C75" s="123" t="s">
        <v>86</v>
      </c>
      <c r="D75" s="131">
        <v>1</v>
      </c>
      <c r="E75" s="125">
        <v>24.62</v>
      </c>
      <c r="F75" s="125">
        <f>ROUND(D75*E75,2)</f>
        <v>24.62</v>
      </c>
      <c r="H75" s="114" t="s">
        <v>61</v>
      </c>
      <c r="I75" s="115" t="s">
        <v>412</v>
      </c>
    </row>
    <row r="76" spans="1:9" ht="12.75">
      <c r="A76" s="116" t="s">
        <v>474</v>
      </c>
      <c r="B76" s="117" t="s">
        <v>475</v>
      </c>
      <c r="C76" s="118"/>
      <c r="D76" s="119"/>
      <c r="E76" s="120"/>
      <c r="F76" s="120">
        <f>SUM(F77:F87)</f>
        <v>10264.380000000001</v>
      </c>
      <c r="H76" s="114"/>
      <c r="I76" s="115"/>
    </row>
    <row r="77" spans="1:9" s="126" customFormat="1" ht="25.5">
      <c r="A77" s="121" t="s">
        <v>476</v>
      </c>
      <c r="B77" s="132" t="s">
        <v>477</v>
      </c>
      <c r="C77" s="130" t="s">
        <v>86</v>
      </c>
      <c r="D77" s="131">
        <v>1</v>
      </c>
      <c r="E77" s="125">
        <v>4751.43</v>
      </c>
      <c r="F77" s="125">
        <f aca="true" t="shared" si="7" ref="F77:F87">ROUND(D77*E77,2)</f>
        <v>4751.43</v>
      </c>
      <c r="H77" s="114" t="s">
        <v>51</v>
      </c>
      <c r="I77" s="115" t="s">
        <v>478</v>
      </c>
    </row>
    <row r="78" spans="1:9" s="126" customFormat="1" ht="33.75">
      <c r="A78" s="121" t="s">
        <v>479</v>
      </c>
      <c r="B78" s="132" t="s">
        <v>480</v>
      </c>
      <c r="C78" s="130" t="s">
        <v>86</v>
      </c>
      <c r="D78" s="131">
        <v>1</v>
      </c>
      <c r="E78" s="125">
        <v>83.56</v>
      </c>
      <c r="F78" s="125">
        <f t="shared" si="7"/>
        <v>83.56</v>
      </c>
      <c r="H78" s="114" t="s">
        <v>61</v>
      </c>
      <c r="I78" s="115" t="s">
        <v>481</v>
      </c>
    </row>
    <row r="79" spans="1:9" s="126" customFormat="1" ht="25.5">
      <c r="A79" s="121" t="s">
        <v>482</v>
      </c>
      <c r="B79" s="132" t="s">
        <v>483</v>
      </c>
      <c r="C79" s="130" t="s">
        <v>86</v>
      </c>
      <c r="D79" s="131">
        <v>1</v>
      </c>
      <c r="E79" s="125">
        <v>474.21</v>
      </c>
      <c r="F79" s="125">
        <f t="shared" si="7"/>
        <v>474.21</v>
      </c>
      <c r="H79" s="114" t="s">
        <v>51</v>
      </c>
      <c r="I79" s="115" t="s">
        <v>484</v>
      </c>
    </row>
    <row r="80" spans="1:9" s="126" customFormat="1" ht="33.75">
      <c r="A80" s="121" t="s">
        <v>485</v>
      </c>
      <c r="B80" s="132" t="s">
        <v>486</v>
      </c>
      <c r="C80" s="130" t="s">
        <v>86</v>
      </c>
      <c r="D80" s="131">
        <v>1</v>
      </c>
      <c r="E80" s="125">
        <v>510.18</v>
      </c>
      <c r="F80" s="125">
        <f t="shared" si="7"/>
        <v>510.18</v>
      </c>
      <c r="H80" s="114" t="s">
        <v>61</v>
      </c>
      <c r="I80" s="115" t="s">
        <v>487</v>
      </c>
    </row>
    <row r="81" spans="1:9" s="126" customFormat="1" ht="33.75">
      <c r="A81" s="121" t="s">
        <v>488</v>
      </c>
      <c r="B81" s="122" t="s">
        <v>489</v>
      </c>
      <c r="C81" s="130" t="s">
        <v>86</v>
      </c>
      <c r="D81" s="131">
        <v>3</v>
      </c>
      <c r="E81" s="125">
        <v>720.6</v>
      </c>
      <c r="F81" s="125">
        <f t="shared" si="7"/>
        <v>2161.8</v>
      </c>
      <c r="H81" s="114" t="s">
        <v>61</v>
      </c>
      <c r="I81" s="115" t="s">
        <v>490</v>
      </c>
    </row>
    <row r="82" spans="1:9" s="126" customFormat="1" ht="25.5">
      <c r="A82" s="121" t="s">
        <v>491</v>
      </c>
      <c r="B82" s="122" t="s">
        <v>492</v>
      </c>
      <c r="C82" s="123" t="s">
        <v>493</v>
      </c>
      <c r="D82" s="131">
        <v>2</v>
      </c>
      <c r="E82" s="125">
        <v>436.21</v>
      </c>
      <c r="F82" s="125">
        <f t="shared" si="7"/>
        <v>872.42</v>
      </c>
      <c r="H82" s="114" t="s">
        <v>125</v>
      </c>
      <c r="I82" s="115">
        <v>99624</v>
      </c>
    </row>
    <row r="83" spans="1:9" s="126" customFormat="1" ht="25.5">
      <c r="A83" s="121" t="s">
        <v>494</v>
      </c>
      <c r="B83" s="122" t="s">
        <v>495</v>
      </c>
      <c r="C83" s="123" t="s">
        <v>493</v>
      </c>
      <c r="D83" s="131">
        <v>1</v>
      </c>
      <c r="E83" s="125">
        <v>78.52</v>
      </c>
      <c r="F83" s="125">
        <f t="shared" si="7"/>
        <v>78.52</v>
      </c>
      <c r="H83" s="114" t="s">
        <v>125</v>
      </c>
      <c r="I83" s="115">
        <v>103008</v>
      </c>
    </row>
    <row r="84" spans="1:9" s="126" customFormat="1" ht="25.5">
      <c r="A84" s="121" t="s">
        <v>496</v>
      </c>
      <c r="B84" s="122" t="s">
        <v>497</v>
      </c>
      <c r="C84" s="123" t="s">
        <v>333</v>
      </c>
      <c r="D84" s="131">
        <v>1</v>
      </c>
      <c r="E84" s="125">
        <v>764.41</v>
      </c>
      <c r="F84" s="125">
        <f t="shared" si="7"/>
        <v>764.41</v>
      </c>
      <c r="H84" s="114" t="s">
        <v>125</v>
      </c>
      <c r="I84" s="115">
        <v>101883</v>
      </c>
    </row>
    <row r="85" spans="1:9" s="126" customFormat="1" ht="33.75">
      <c r="A85" s="121" t="s">
        <v>498</v>
      </c>
      <c r="B85" s="132" t="s">
        <v>499</v>
      </c>
      <c r="C85" s="130" t="s">
        <v>86</v>
      </c>
      <c r="D85" s="131">
        <v>1</v>
      </c>
      <c r="E85" s="125">
        <v>181.54</v>
      </c>
      <c r="F85" s="125">
        <f t="shared" si="7"/>
        <v>181.54</v>
      </c>
      <c r="H85" s="114" t="s">
        <v>61</v>
      </c>
      <c r="I85" s="115" t="s">
        <v>500</v>
      </c>
    </row>
    <row r="86" spans="1:9" s="126" customFormat="1" ht="25.5">
      <c r="A86" s="121" t="s">
        <v>501</v>
      </c>
      <c r="B86" s="132" t="s">
        <v>502</v>
      </c>
      <c r="C86" s="130" t="s">
        <v>86</v>
      </c>
      <c r="D86" s="131">
        <v>2</v>
      </c>
      <c r="E86" s="125">
        <v>137.27</v>
      </c>
      <c r="F86" s="125">
        <f t="shared" si="7"/>
        <v>274.54</v>
      </c>
      <c r="H86" s="114" t="s">
        <v>56</v>
      </c>
      <c r="I86" s="115" t="s">
        <v>503</v>
      </c>
    </row>
    <row r="87" spans="1:9" s="126" customFormat="1" ht="25.5">
      <c r="A87" s="121" t="s">
        <v>504</v>
      </c>
      <c r="B87" s="122" t="s">
        <v>462</v>
      </c>
      <c r="C87" s="123" t="s">
        <v>86</v>
      </c>
      <c r="D87" s="154">
        <v>1</v>
      </c>
      <c r="E87" s="125">
        <v>111.77</v>
      </c>
      <c r="F87" s="125">
        <f t="shared" si="7"/>
        <v>111.77</v>
      </c>
      <c r="H87" s="114" t="s">
        <v>51</v>
      </c>
      <c r="I87" s="115" t="s">
        <v>463</v>
      </c>
    </row>
    <row r="88" spans="1:9" ht="12.75">
      <c r="A88" s="116" t="s">
        <v>505</v>
      </c>
      <c r="B88" s="117" t="s">
        <v>422</v>
      </c>
      <c r="C88" s="118"/>
      <c r="D88" s="119"/>
      <c r="E88" s="120"/>
      <c r="F88" s="120">
        <f>SUM(F89:F90)</f>
        <v>598.1600000000001</v>
      </c>
      <c r="H88" s="114"/>
      <c r="I88" s="115"/>
    </row>
    <row r="89" spans="1:9" s="126" customFormat="1" ht="25.5">
      <c r="A89" s="121" t="s">
        <v>506</v>
      </c>
      <c r="B89" s="122" t="s">
        <v>423</v>
      </c>
      <c r="C89" s="123" t="s">
        <v>86</v>
      </c>
      <c r="D89" s="154">
        <v>1</v>
      </c>
      <c r="E89" s="125">
        <v>279.43</v>
      </c>
      <c r="F89" s="125">
        <f aca="true" t="shared" si="8" ref="F89:F90">ROUND(D89*E89,2)</f>
        <v>279.43</v>
      </c>
      <c r="H89" s="114" t="s">
        <v>125</v>
      </c>
      <c r="I89" s="115">
        <v>101909</v>
      </c>
    </row>
    <row r="90" spans="1:9" s="126" customFormat="1" ht="38.25">
      <c r="A90" s="121" t="s">
        <v>507</v>
      </c>
      <c r="B90" s="122" t="s">
        <v>464</v>
      </c>
      <c r="C90" s="123" t="s">
        <v>86</v>
      </c>
      <c r="D90" s="154">
        <v>1</v>
      </c>
      <c r="E90" s="125">
        <v>318.73</v>
      </c>
      <c r="F90" s="125">
        <f t="shared" si="8"/>
        <v>318.73</v>
      </c>
      <c r="H90" s="114" t="s">
        <v>51</v>
      </c>
      <c r="I90" s="115" t="s">
        <v>465</v>
      </c>
    </row>
    <row r="91" spans="1:9" ht="12.75">
      <c r="A91" s="116" t="s">
        <v>508</v>
      </c>
      <c r="B91" s="117" t="s">
        <v>432</v>
      </c>
      <c r="C91" s="118"/>
      <c r="D91" s="119"/>
      <c r="E91" s="120"/>
      <c r="F91" s="120">
        <f>SUM(F92)</f>
        <v>38.13</v>
      </c>
      <c r="H91" s="114"/>
      <c r="I91" s="115"/>
    </row>
    <row r="92" spans="1:9" s="126" customFormat="1" ht="25.5">
      <c r="A92" s="121" t="s">
        <v>509</v>
      </c>
      <c r="B92" s="122" t="s">
        <v>434</v>
      </c>
      <c r="C92" s="123" t="s">
        <v>86</v>
      </c>
      <c r="D92" s="154">
        <v>1</v>
      </c>
      <c r="E92" s="125">
        <v>38.13</v>
      </c>
      <c r="F92" s="125">
        <f>ROUND(D92*E92,2)</f>
        <v>38.13</v>
      </c>
      <c r="H92" s="114" t="s">
        <v>125</v>
      </c>
      <c r="I92" s="115">
        <v>97599</v>
      </c>
    </row>
    <row r="93" spans="1:9" ht="12.75">
      <c r="A93" s="116" t="s">
        <v>510</v>
      </c>
      <c r="B93" s="117" t="s">
        <v>511</v>
      </c>
      <c r="C93" s="118"/>
      <c r="D93" s="119"/>
      <c r="E93" s="120"/>
      <c r="F93" s="120">
        <f>SUM(F94:F99)</f>
        <v>6902.379999999999</v>
      </c>
      <c r="H93" s="114"/>
      <c r="I93" s="115"/>
    </row>
    <row r="94" spans="1:9" s="126" customFormat="1" ht="25.5">
      <c r="A94" s="157" t="s">
        <v>512</v>
      </c>
      <c r="B94" s="132" t="s">
        <v>513</v>
      </c>
      <c r="C94" s="130" t="s">
        <v>55</v>
      </c>
      <c r="D94" s="131">
        <v>157.41250000000002</v>
      </c>
      <c r="E94" s="125">
        <v>1.88</v>
      </c>
      <c r="F94" s="125">
        <f aca="true" t="shared" si="9" ref="F94:F99">ROUND(D94*E94,2)</f>
        <v>295.94</v>
      </c>
      <c r="H94" s="114" t="s">
        <v>125</v>
      </c>
      <c r="I94" s="115">
        <v>99814</v>
      </c>
    </row>
    <row r="95" spans="1:9" s="126" customFormat="1" ht="22.5">
      <c r="A95" s="157" t="s">
        <v>514</v>
      </c>
      <c r="B95" s="132" t="s">
        <v>515</v>
      </c>
      <c r="C95" s="130" t="s">
        <v>55</v>
      </c>
      <c r="D95" s="131">
        <v>42</v>
      </c>
      <c r="E95" s="125">
        <v>3.51</v>
      </c>
      <c r="F95" s="125">
        <f t="shared" si="9"/>
        <v>147.42</v>
      </c>
      <c r="H95" s="114" t="s">
        <v>125</v>
      </c>
      <c r="I95" s="115">
        <v>88485</v>
      </c>
    </row>
    <row r="96" spans="1:9" s="126" customFormat="1" ht="25.5">
      <c r="A96" s="157" t="s">
        <v>516</v>
      </c>
      <c r="B96" s="132" t="s">
        <v>517</v>
      </c>
      <c r="C96" s="130" t="s">
        <v>55</v>
      </c>
      <c r="D96" s="131">
        <v>42</v>
      </c>
      <c r="E96" s="125">
        <v>16.45</v>
      </c>
      <c r="F96" s="125">
        <f t="shared" si="9"/>
        <v>690.9</v>
      </c>
      <c r="H96" s="114" t="s">
        <v>125</v>
      </c>
      <c r="I96" s="115">
        <v>88489</v>
      </c>
    </row>
    <row r="97" spans="1:9" s="126" customFormat="1" ht="22.5">
      <c r="A97" s="157" t="s">
        <v>518</v>
      </c>
      <c r="B97" s="132" t="s">
        <v>519</v>
      </c>
      <c r="C97" s="130" t="s">
        <v>55</v>
      </c>
      <c r="D97" s="131">
        <v>12.25</v>
      </c>
      <c r="E97" s="125">
        <v>3.97</v>
      </c>
      <c r="F97" s="125">
        <f t="shared" si="9"/>
        <v>48.63</v>
      </c>
      <c r="H97" s="114" t="s">
        <v>125</v>
      </c>
      <c r="I97" s="115">
        <v>88484</v>
      </c>
    </row>
    <row r="98" spans="1:9" s="126" customFormat="1" ht="22.5">
      <c r="A98" s="157" t="s">
        <v>520</v>
      </c>
      <c r="B98" s="132" t="s">
        <v>521</v>
      </c>
      <c r="C98" s="130" t="s">
        <v>55</v>
      </c>
      <c r="D98" s="131">
        <v>12.25</v>
      </c>
      <c r="E98" s="125">
        <v>18.54</v>
      </c>
      <c r="F98" s="125">
        <f t="shared" si="9"/>
        <v>227.12</v>
      </c>
      <c r="H98" s="114" t="s">
        <v>125</v>
      </c>
      <c r="I98" s="115">
        <v>88488</v>
      </c>
    </row>
    <row r="99" spans="1:9" s="126" customFormat="1" ht="25.5">
      <c r="A99" s="157" t="s">
        <v>522</v>
      </c>
      <c r="B99" s="132" t="s">
        <v>523</v>
      </c>
      <c r="C99" s="130" t="s">
        <v>55</v>
      </c>
      <c r="D99" s="131">
        <v>103.16250000000001</v>
      </c>
      <c r="E99" s="125">
        <v>53.24</v>
      </c>
      <c r="F99" s="125">
        <f t="shared" si="9"/>
        <v>5492.37</v>
      </c>
      <c r="H99" s="114" t="s">
        <v>125</v>
      </c>
      <c r="I99" s="115">
        <v>100758</v>
      </c>
    </row>
    <row r="100" spans="1:9" ht="12.75">
      <c r="A100" s="109">
        <v>6</v>
      </c>
      <c r="B100" s="109" t="s">
        <v>524</v>
      </c>
      <c r="C100" s="110"/>
      <c r="D100" s="111"/>
      <c r="E100" s="112"/>
      <c r="F100" s="112">
        <f>F101+F106+F108</f>
        <v>830.08</v>
      </c>
      <c r="G100" s="113"/>
      <c r="H100" s="114"/>
      <c r="I100" s="115"/>
    </row>
    <row r="101" spans="1:9" ht="12.75">
      <c r="A101" s="116" t="s">
        <v>525</v>
      </c>
      <c r="B101" s="117" t="s">
        <v>400</v>
      </c>
      <c r="C101" s="118"/>
      <c r="D101" s="119"/>
      <c r="E101" s="120"/>
      <c r="F101" s="120">
        <f>SUM(F102:F105)</f>
        <v>194.96</v>
      </c>
      <c r="H101" s="114"/>
      <c r="I101" s="115"/>
    </row>
    <row r="102" spans="1:9" s="126" customFormat="1" ht="33.75">
      <c r="A102" s="121" t="s">
        <v>526</v>
      </c>
      <c r="B102" s="132" t="s">
        <v>405</v>
      </c>
      <c r="C102" s="123" t="s">
        <v>86</v>
      </c>
      <c r="D102" s="131">
        <v>1</v>
      </c>
      <c r="E102" s="125">
        <v>27.29</v>
      </c>
      <c r="F102" s="125">
        <f aca="true" t="shared" si="10" ref="F102:F105">ROUND(D102*E102,2)</f>
        <v>27.29</v>
      </c>
      <c r="H102" s="114" t="s">
        <v>61</v>
      </c>
      <c r="I102" s="115" t="s">
        <v>406</v>
      </c>
    </row>
    <row r="103" spans="1:9" s="126" customFormat="1" ht="38.25">
      <c r="A103" s="121" t="s">
        <v>527</v>
      </c>
      <c r="B103" s="132" t="s">
        <v>448</v>
      </c>
      <c r="C103" s="123" t="s">
        <v>86</v>
      </c>
      <c r="D103" s="131">
        <v>1</v>
      </c>
      <c r="E103" s="125">
        <v>84.18</v>
      </c>
      <c r="F103" s="125">
        <f t="shared" si="10"/>
        <v>84.18</v>
      </c>
      <c r="H103" s="114" t="s">
        <v>51</v>
      </c>
      <c r="I103" s="115" t="s">
        <v>449</v>
      </c>
    </row>
    <row r="104" spans="1:9" s="126" customFormat="1" ht="25.5">
      <c r="A104" s="121" t="s">
        <v>528</v>
      </c>
      <c r="B104" s="132" t="s">
        <v>454</v>
      </c>
      <c r="C104" s="123" t="s">
        <v>86</v>
      </c>
      <c r="D104" s="131">
        <v>1</v>
      </c>
      <c r="E104" s="125">
        <v>34.25</v>
      </c>
      <c r="F104" s="125">
        <f t="shared" si="10"/>
        <v>34.25</v>
      </c>
      <c r="H104" s="114" t="s">
        <v>51</v>
      </c>
      <c r="I104" s="115" t="s">
        <v>455</v>
      </c>
    </row>
    <row r="105" spans="1:9" s="126" customFormat="1" ht="33.75">
      <c r="A105" s="121" t="s">
        <v>529</v>
      </c>
      <c r="B105" s="132" t="s">
        <v>411</v>
      </c>
      <c r="C105" s="123" t="s">
        <v>86</v>
      </c>
      <c r="D105" s="131">
        <v>2</v>
      </c>
      <c r="E105" s="125">
        <v>24.62</v>
      </c>
      <c r="F105" s="125">
        <f t="shared" si="10"/>
        <v>49.24</v>
      </c>
      <c r="H105" s="114" t="s">
        <v>61</v>
      </c>
      <c r="I105" s="115" t="s">
        <v>412</v>
      </c>
    </row>
    <row r="106" spans="1:9" ht="12.75">
      <c r="A106" s="116" t="s">
        <v>530</v>
      </c>
      <c r="B106" s="117" t="s">
        <v>422</v>
      </c>
      <c r="C106" s="118"/>
      <c r="D106" s="119"/>
      <c r="E106" s="120"/>
      <c r="F106" s="120">
        <f>SUM(F107)</f>
        <v>558.86</v>
      </c>
      <c r="H106" s="114"/>
      <c r="I106" s="115"/>
    </row>
    <row r="107" spans="1:9" s="126" customFormat="1" ht="25.5">
      <c r="A107" s="121" t="s">
        <v>531</v>
      </c>
      <c r="B107" s="122" t="s">
        <v>423</v>
      </c>
      <c r="C107" s="123" t="s">
        <v>86</v>
      </c>
      <c r="D107" s="154">
        <v>2</v>
      </c>
      <c r="E107" s="125">
        <v>279.43</v>
      </c>
      <c r="F107" s="125">
        <f>ROUND(D107*E107,2)</f>
        <v>558.86</v>
      </c>
      <c r="H107" s="114" t="s">
        <v>125</v>
      </c>
      <c r="I107" s="115">
        <v>101909</v>
      </c>
    </row>
    <row r="108" spans="1:9" ht="12.75">
      <c r="A108" s="116" t="s">
        <v>532</v>
      </c>
      <c r="B108" s="117" t="s">
        <v>432</v>
      </c>
      <c r="C108" s="118"/>
      <c r="D108" s="119"/>
      <c r="E108" s="120"/>
      <c r="F108" s="120">
        <f>SUM(F109)</f>
        <v>76.26</v>
      </c>
      <c r="H108" s="114"/>
      <c r="I108" s="115"/>
    </row>
    <row r="109" spans="1:9" s="126" customFormat="1" ht="25.5">
      <c r="A109" s="121" t="s">
        <v>533</v>
      </c>
      <c r="B109" s="122" t="s">
        <v>434</v>
      </c>
      <c r="C109" s="123" t="s">
        <v>86</v>
      </c>
      <c r="D109" s="154">
        <v>2</v>
      </c>
      <c r="E109" s="125">
        <v>38.13</v>
      </c>
      <c r="F109" s="125">
        <f>ROUND(D109*E109,2)</f>
        <v>76.26</v>
      </c>
      <c r="H109" s="114" t="s">
        <v>125</v>
      </c>
      <c r="I109" s="115">
        <v>97599</v>
      </c>
    </row>
    <row r="110" spans="1:9" ht="12.75">
      <c r="A110" s="109">
        <v>7</v>
      </c>
      <c r="B110" s="109" t="s">
        <v>534</v>
      </c>
      <c r="C110" s="110"/>
      <c r="D110" s="111"/>
      <c r="E110" s="112"/>
      <c r="F110" s="112">
        <f>F111+F122+F124</f>
        <v>13924.69</v>
      </c>
      <c r="G110" s="113"/>
      <c r="H110" s="114"/>
      <c r="I110" s="115"/>
    </row>
    <row r="111" spans="1:9" ht="12.75">
      <c r="A111" s="116" t="s">
        <v>535</v>
      </c>
      <c r="B111" s="117" t="s">
        <v>536</v>
      </c>
      <c r="C111" s="118"/>
      <c r="D111" s="119"/>
      <c r="E111" s="120"/>
      <c r="F111" s="120">
        <f>SUM(F112:F121)</f>
        <v>8484.36</v>
      </c>
      <c r="H111" s="114"/>
      <c r="I111" s="115"/>
    </row>
    <row r="112" spans="1:9" s="126" customFormat="1" ht="38.25">
      <c r="A112" s="121" t="s">
        <v>537</v>
      </c>
      <c r="B112" s="122" t="s">
        <v>538</v>
      </c>
      <c r="C112" s="123" t="s">
        <v>82</v>
      </c>
      <c r="D112" s="131">
        <v>250</v>
      </c>
      <c r="E112" s="125">
        <v>24.39</v>
      </c>
      <c r="F112" s="125">
        <f aca="true" t="shared" si="11" ref="F112:F121">ROUND(D112*E112,2)</f>
        <v>6097.5</v>
      </c>
      <c r="H112" s="114" t="s">
        <v>61</v>
      </c>
      <c r="I112" s="115" t="s">
        <v>539</v>
      </c>
    </row>
    <row r="113" spans="1:9" s="126" customFormat="1" ht="38.25">
      <c r="A113" s="121" t="s">
        <v>540</v>
      </c>
      <c r="B113" s="122" t="s">
        <v>541</v>
      </c>
      <c r="C113" s="123" t="s">
        <v>86</v>
      </c>
      <c r="D113" s="131">
        <v>13</v>
      </c>
      <c r="E113" s="125">
        <v>32.17</v>
      </c>
      <c r="F113" s="125">
        <f t="shared" si="11"/>
        <v>418.21</v>
      </c>
      <c r="H113" s="114" t="s">
        <v>125</v>
      </c>
      <c r="I113" s="115">
        <v>95778</v>
      </c>
    </row>
    <row r="114" spans="1:9" s="126" customFormat="1" ht="38.25">
      <c r="A114" s="121" t="s">
        <v>542</v>
      </c>
      <c r="B114" s="122" t="s">
        <v>543</v>
      </c>
      <c r="C114" s="123" t="s">
        <v>86</v>
      </c>
      <c r="D114" s="131">
        <v>13</v>
      </c>
      <c r="E114" s="125">
        <v>26.61</v>
      </c>
      <c r="F114" s="125">
        <f t="shared" si="11"/>
        <v>345.93</v>
      </c>
      <c r="H114" s="114" t="s">
        <v>125</v>
      </c>
      <c r="I114" s="115">
        <v>95779</v>
      </c>
    </row>
    <row r="115" spans="1:9" s="126" customFormat="1" ht="38.25">
      <c r="A115" s="121" t="s">
        <v>544</v>
      </c>
      <c r="B115" s="122" t="s">
        <v>545</v>
      </c>
      <c r="C115" s="123" t="s">
        <v>86</v>
      </c>
      <c r="D115" s="131">
        <v>1</v>
      </c>
      <c r="E115" s="125">
        <v>40.47</v>
      </c>
      <c r="F115" s="125">
        <f t="shared" si="11"/>
        <v>40.47</v>
      </c>
      <c r="H115" s="114" t="s">
        <v>51</v>
      </c>
      <c r="I115" s="115" t="s">
        <v>546</v>
      </c>
    </row>
    <row r="116" spans="1:9" s="126" customFormat="1" ht="38.25">
      <c r="A116" s="121" t="s">
        <v>547</v>
      </c>
      <c r="B116" s="122" t="s">
        <v>548</v>
      </c>
      <c r="C116" s="123" t="s">
        <v>86</v>
      </c>
      <c r="D116" s="131">
        <v>4</v>
      </c>
      <c r="E116" s="125">
        <v>43.13</v>
      </c>
      <c r="F116" s="125">
        <f t="shared" si="11"/>
        <v>172.52</v>
      </c>
      <c r="H116" s="114" t="s">
        <v>51</v>
      </c>
      <c r="I116" s="115" t="s">
        <v>549</v>
      </c>
    </row>
    <row r="117" spans="1:9" s="126" customFormat="1" ht="38.25">
      <c r="A117" s="121" t="s">
        <v>550</v>
      </c>
      <c r="B117" s="122" t="s">
        <v>551</v>
      </c>
      <c r="C117" s="123" t="s">
        <v>86</v>
      </c>
      <c r="D117" s="131">
        <v>8</v>
      </c>
      <c r="E117" s="125">
        <v>32.93</v>
      </c>
      <c r="F117" s="125">
        <f t="shared" si="11"/>
        <v>263.44</v>
      </c>
      <c r="H117" s="114" t="s">
        <v>51</v>
      </c>
      <c r="I117" s="115" t="s">
        <v>552</v>
      </c>
    </row>
    <row r="118" spans="1:9" s="126" customFormat="1" ht="38.25">
      <c r="A118" s="121" t="s">
        <v>553</v>
      </c>
      <c r="B118" s="122" t="s">
        <v>554</v>
      </c>
      <c r="C118" s="123" t="s">
        <v>86</v>
      </c>
      <c r="D118" s="131">
        <v>6</v>
      </c>
      <c r="E118" s="125">
        <v>35.95</v>
      </c>
      <c r="F118" s="125">
        <f t="shared" si="11"/>
        <v>215.7</v>
      </c>
      <c r="H118" s="114" t="s">
        <v>125</v>
      </c>
      <c r="I118" s="115">
        <v>95795</v>
      </c>
    </row>
    <row r="119" spans="1:9" s="126" customFormat="1" ht="38.25">
      <c r="A119" s="121" t="s">
        <v>555</v>
      </c>
      <c r="B119" s="122" t="s">
        <v>556</v>
      </c>
      <c r="C119" s="123" t="s">
        <v>86</v>
      </c>
      <c r="D119" s="131">
        <v>4</v>
      </c>
      <c r="E119" s="125">
        <v>46.05</v>
      </c>
      <c r="F119" s="125">
        <f t="shared" si="11"/>
        <v>184.2</v>
      </c>
      <c r="H119" s="114" t="s">
        <v>51</v>
      </c>
      <c r="I119" s="115" t="s">
        <v>557</v>
      </c>
    </row>
    <row r="120" spans="1:9" s="126" customFormat="1" ht="38.25">
      <c r="A120" s="121" t="s">
        <v>558</v>
      </c>
      <c r="B120" s="122" t="s">
        <v>559</v>
      </c>
      <c r="C120" s="123" t="s">
        <v>86</v>
      </c>
      <c r="D120" s="131">
        <v>1</v>
      </c>
      <c r="E120" s="125">
        <v>43.64</v>
      </c>
      <c r="F120" s="125">
        <f t="shared" si="11"/>
        <v>43.64</v>
      </c>
      <c r="H120" s="114" t="s">
        <v>125</v>
      </c>
      <c r="I120" s="115">
        <v>95801</v>
      </c>
    </row>
    <row r="121" spans="1:9" s="126" customFormat="1" ht="25.5">
      <c r="A121" s="121" t="s">
        <v>560</v>
      </c>
      <c r="B121" s="132" t="s">
        <v>561</v>
      </c>
      <c r="C121" s="130" t="s">
        <v>82</v>
      </c>
      <c r="D121" s="131">
        <v>75</v>
      </c>
      <c r="E121" s="125">
        <v>9.37</v>
      </c>
      <c r="F121" s="125">
        <f t="shared" si="11"/>
        <v>702.75</v>
      </c>
      <c r="H121" s="114" t="s">
        <v>51</v>
      </c>
      <c r="I121" s="115" t="s">
        <v>562</v>
      </c>
    </row>
    <row r="122" spans="1:9" ht="25.5">
      <c r="A122" s="116" t="s">
        <v>563</v>
      </c>
      <c r="B122" s="117" t="s">
        <v>564</v>
      </c>
      <c r="C122" s="118"/>
      <c r="D122" s="119"/>
      <c r="E122" s="120"/>
      <c r="F122" s="120">
        <f>SUM(F123)</f>
        <v>764.91</v>
      </c>
      <c r="H122" s="114"/>
      <c r="I122" s="115"/>
    </row>
    <row r="123" spans="1:9" s="126" customFormat="1" ht="51">
      <c r="A123" s="121" t="s">
        <v>565</v>
      </c>
      <c r="B123" s="122" t="s">
        <v>566</v>
      </c>
      <c r="C123" s="123" t="s">
        <v>129</v>
      </c>
      <c r="D123" s="131">
        <v>27</v>
      </c>
      <c r="E123" s="125">
        <v>28.33</v>
      </c>
      <c r="F123" s="125">
        <f>ROUND(D123*E123,2)</f>
        <v>764.91</v>
      </c>
      <c r="H123" s="114" t="s">
        <v>51</v>
      </c>
      <c r="I123" s="115" t="s">
        <v>567</v>
      </c>
    </row>
    <row r="124" spans="1:9" ht="12.75">
      <c r="A124" s="116" t="s">
        <v>568</v>
      </c>
      <c r="B124" s="117" t="s">
        <v>569</v>
      </c>
      <c r="C124" s="118"/>
      <c r="D124" s="119"/>
      <c r="E124" s="120"/>
      <c r="F124" s="120">
        <f>SUM(F125:F130)</f>
        <v>4675.42</v>
      </c>
      <c r="H124" s="114"/>
      <c r="I124" s="115"/>
    </row>
    <row r="125" spans="1:9" s="126" customFormat="1" ht="38.25">
      <c r="A125" s="121" t="s">
        <v>570</v>
      </c>
      <c r="B125" s="122" t="s">
        <v>571</v>
      </c>
      <c r="C125" s="123" t="s">
        <v>82</v>
      </c>
      <c r="D125" s="131">
        <v>230</v>
      </c>
      <c r="E125" s="125">
        <v>4.81</v>
      </c>
      <c r="F125" s="125">
        <f aca="true" t="shared" si="12" ref="F125:F130">ROUND(D125*E125,2)</f>
        <v>1106.3</v>
      </c>
      <c r="H125" s="114" t="s">
        <v>125</v>
      </c>
      <c r="I125" s="115">
        <v>91926</v>
      </c>
    </row>
    <row r="126" spans="1:9" s="126" customFormat="1" ht="38.25">
      <c r="A126" s="121" t="s">
        <v>572</v>
      </c>
      <c r="B126" s="122" t="s">
        <v>573</v>
      </c>
      <c r="C126" s="123" t="s">
        <v>82</v>
      </c>
      <c r="D126" s="131">
        <v>230</v>
      </c>
      <c r="E126" s="125">
        <v>4.81</v>
      </c>
      <c r="F126" s="125">
        <f t="shared" si="12"/>
        <v>1106.3</v>
      </c>
      <c r="H126" s="114" t="s">
        <v>125</v>
      </c>
      <c r="I126" s="115">
        <v>91926</v>
      </c>
    </row>
    <row r="127" spans="1:9" s="126" customFormat="1" ht="38.25">
      <c r="A127" s="121" t="s">
        <v>574</v>
      </c>
      <c r="B127" s="122" t="s">
        <v>575</v>
      </c>
      <c r="C127" s="123" t="s">
        <v>82</v>
      </c>
      <c r="D127" s="131">
        <v>230</v>
      </c>
      <c r="E127" s="125">
        <v>4.81</v>
      </c>
      <c r="F127" s="125">
        <f t="shared" si="12"/>
        <v>1106.3</v>
      </c>
      <c r="H127" s="114" t="s">
        <v>125</v>
      </c>
      <c r="I127" s="115">
        <v>91926</v>
      </c>
    </row>
    <row r="128" spans="1:9" s="126" customFormat="1" ht="25.5">
      <c r="A128" s="121" t="s">
        <v>576</v>
      </c>
      <c r="B128" s="156" t="s">
        <v>577</v>
      </c>
      <c r="C128" s="128" t="s">
        <v>82</v>
      </c>
      <c r="D128" s="131">
        <v>100</v>
      </c>
      <c r="E128" s="125">
        <v>11.72</v>
      </c>
      <c r="F128" s="125">
        <f t="shared" si="12"/>
        <v>1172</v>
      </c>
      <c r="H128" s="114" t="s">
        <v>51</v>
      </c>
      <c r="I128" s="115" t="s">
        <v>578</v>
      </c>
    </row>
    <row r="129" spans="1:9" s="126" customFormat="1" ht="63.75">
      <c r="A129" s="121" t="s">
        <v>579</v>
      </c>
      <c r="B129" s="122" t="s">
        <v>580</v>
      </c>
      <c r="C129" s="123" t="s">
        <v>333</v>
      </c>
      <c r="D129" s="131">
        <v>3</v>
      </c>
      <c r="E129" s="125">
        <v>22.46</v>
      </c>
      <c r="F129" s="125">
        <f t="shared" si="12"/>
        <v>67.38</v>
      </c>
      <c r="H129" s="114" t="s">
        <v>125</v>
      </c>
      <c r="I129" s="115">
        <v>93653</v>
      </c>
    </row>
    <row r="130" spans="1:9" s="126" customFormat="1" ht="51">
      <c r="A130" s="121" t="s">
        <v>581</v>
      </c>
      <c r="B130" s="122" t="s">
        <v>582</v>
      </c>
      <c r="C130" s="123" t="s">
        <v>333</v>
      </c>
      <c r="D130" s="131">
        <v>1</v>
      </c>
      <c r="E130" s="125">
        <v>117.14</v>
      </c>
      <c r="F130" s="125">
        <f t="shared" si="12"/>
        <v>117.14</v>
      </c>
      <c r="H130" s="114" t="s">
        <v>125</v>
      </c>
      <c r="I130" s="115">
        <v>93660</v>
      </c>
    </row>
    <row r="131" spans="1:9" ht="12.75">
      <c r="A131" s="109">
        <v>8</v>
      </c>
      <c r="B131" s="109" t="s">
        <v>583</v>
      </c>
      <c r="C131" s="110"/>
      <c r="D131" s="111"/>
      <c r="E131" s="112"/>
      <c r="F131" s="112">
        <f>F132+F141+F147</f>
        <v>24498.14</v>
      </c>
      <c r="G131" s="113"/>
      <c r="H131" s="114"/>
      <c r="I131" s="115"/>
    </row>
    <row r="132" spans="1:9" ht="12.75">
      <c r="A132" s="116" t="s">
        <v>584</v>
      </c>
      <c r="B132" s="117" t="s">
        <v>585</v>
      </c>
      <c r="C132" s="118"/>
      <c r="D132" s="119"/>
      <c r="E132" s="120"/>
      <c r="F132" s="120">
        <f>SUM(F133:F140)</f>
        <v>4061.66</v>
      </c>
      <c r="H132" s="114"/>
      <c r="I132" s="115"/>
    </row>
    <row r="133" spans="1:9" s="126" customFormat="1" ht="33.75">
      <c r="A133" s="121" t="s">
        <v>586</v>
      </c>
      <c r="B133" s="122" t="s">
        <v>126</v>
      </c>
      <c r="C133" s="123" t="s">
        <v>55</v>
      </c>
      <c r="D133" s="131">
        <v>10</v>
      </c>
      <c r="E133" s="125">
        <v>18.17</v>
      </c>
      <c r="F133" s="125">
        <f aca="true" t="shared" si="13" ref="F133:F140">ROUND(D133*E133,2)</f>
        <v>181.7</v>
      </c>
      <c r="H133" s="114" t="s">
        <v>61</v>
      </c>
      <c r="I133" s="115" t="s">
        <v>127</v>
      </c>
    </row>
    <row r="134" spans="1:9" s="126" customFormat="1" ht="25.5">
      <c r="A134" s="121" t="s">
        <v>587</v>
      </c>
      <c r="B134" s="132" t="s">
        <v>588</v>
      </c>
      <c r="C134" s="130" t="s">
        <v>55</v>
      </c>
      <c r="D134" s="131">
        <v>10</v>
      </c>
      <c r="E134" s="125">
        <v>22.31</v>
      </c>
      <c r="F134" s="125">
        <f t="shared" si="13"/>
        <v>223.1</v>
      </c>
      <c r="H134" s="114" t="s">
        <v>125</v>
      </c>
      <c r="I134" s="115">
        <v>97633</v>
      </c>
    </row>
    <row r="135" spans="1:9" s="126" customFormat="1" ht="22.5">
      <c r="A135" s="121" t="s">
        <v>589</v>
      </c>
      <c r="B135" s="132" t="s">
        <v>590</v>
      </c>
      <c r="C135" s="130" t="s">
        <v>142</v>
      </c>
      <c r="D135" s="131">
        <v>10</v>
      </c>
      <c r="E135" s="125">
        <v>76.65</v>
      </c>
      <c r="F135" s="125">
        <f t="shared" si="13"/>
        <v>766.5</v>
      </c>
      <c r="H135" s="114" t="s">
        <v>125</v>
      </c>
      <c r="I135" s="115">
        <v>97625</v>
      </c>
    </row>
    <row r="136" spans="1:9" s="126" customFormat="1" ht="22.5">
      <c r="A136" s="121" t="s">
        <v>591</v>
      </c>
      <c r="B136" s="132" t="s">
        <v>592</v>
      </c>
      <c r="C136" s="130" t="s">
        <v>86</v>
      </c>
      <c r="D136" s="131">
        <v>1</v>
      </c>
      <c r="E136" s="125">
        <v>112.06</v>
      </c>
      <c r="F136" s="125">
        <f t="shared" si="13"/>
        <v>112.06</v>
      </c>
      <c r="H136" s="114" t="s">
        <v>125</v>
      </c>
      <c r="I136" s="115">
        <v>90440</v>
      </c>
    </row>
    <row r="137" spans="1:9" s="126" customFormat="1" ht="22.5">
      <c r="A137" s="121" t="s">
        <v>593</v>
      </c>
      <c r="B137" s="133" t="s">
        <v>212</v>
      </c>
      <c r="C137" s="134" t="s">
        <v>142</v>
      </c>
      <c r="D137" s="131">
        <v>19.2</v>
      </c>
      <c r="E137" s="125">
        <v>80.74</v>
      </c>
      <c r="F137" s="125">
        <f t="shared" si="13"/>
        <v>1550.21</v>
      </c>
      <c r="H137" s="114" t="s">
        <v>125</v>
      </c>
      <c r="I137" s="115">
        <v>93358</v>
      </c>
    </row>
    <row r="138" spans="1:9" s="126" customFormat="1" ht="22.5">
      <c r="A138" s="121" t="s">
        <v>594</v>
      </c>
      <c r="B138" s="122" t="s">
        <v>170</v>
      </c>
      <c r="C138" s="123" t="s">
        <v>55</v>
      </c>
      <c r="D138" s="131">
        <v>32</v>
      </c>
      <c r="E138" s="125">
        <v>6.22</v>
      </c>
      <c r="F138" s="125">
        <f t="shared" si="13"/>
        <v>199.04</v>
      </c>
      <c r="H138" s="114" t="s">
        <v>125</v>
      </c>
      <c r="I138" s="115">
        <v>101616</v>
      </c>
    </row>
    <row r="139" spans="1:9" s="126" customFormat="1" ht="25.5">
      <c r="A139" s="121" t="s">
        <v>595</v>
      </c>
      <c r="B139" s="122" t="s">
        <v>191</v>
      </c>
      <c r="C139" s="123" t="s">
        <v>142</v>
      </c>
      <c r="D139" s="131">
        <v>18.9507468</v>
      </c>
      <c r="E139" s="125">
        <v>34.36</v>
      </c>
      <c r="F139" s="125">
        <f t="shared" si="13"/>
        <v>651.15</v>
      </c>
      <c r="H139" s="114" t="s">
        <v>125</v>
      </c>
      <c r="I139" s="115">
        <v>93382</v>
      </c>
    </row>
    <row r="140" spans="1:9" s="126" customFormat="1" ht="25.5">
      <c r="A140" s="157" t="s">
        <v>596</v>
      </c>
      <c r="B140" s="122" t="s">
        <v>396</v>
      </c>
      <c r="C140" s="123" t="s">
        <v>142</v>
      </c>
      <c r="D140" s="131">
        <v>5</v>
      </c>
      <c r="E140" s="125">
        <v>75.58</v>
      </c>
      <c r="F140" s="125">
        <f t="shared" si="13"/>
        <v>377.9</v>
      </c>
      <c r="H140" s="114" t="s">
        <v>51</v>
      </c>
      <c r="I140" s="115" t="s">
        <v>397</v>
      </c>
    </row>
    <row r="141" spans="1:9" ht="12.75">
      <c r="A141" s="116" t="s">
        <v>597</v>
      </c>
      <c r="B141" s="117" t="s">
        <v>598</v>
      </c>
      <c r="C141" s="118"/>
      <c r="D141" s="119"/>
      <c r="E141" s="120"/>
      <c r="F141" s="120">
        <f>SUM(F142:F146)</f>
        <v>19426.35</v>
      </c>
      <c r="H141" s="114"/>
      <c r="I141" s="115"/>
    </row>
    <row r="142" spans="1:9" s="126" customFormat="1" ht="38.25">
      <c r="A142" s="121" t="s">
        <v>599</v>
      </c>
      <c r="B142" s="132" t="s">
        <v>600</v>
      </c>
      <c r="C142" s="123" t="s">
        <v>82</v>
      </c>
      <c r="D142" s="131">
        <v>100</v>
      </c>
      <c r="E142" s="125">
        <v>158.65</v>
      </c>
      <c r="F142" s="125">
        <f aca="true" t="shared" si="14" ref="F142:F146">ROUND(D142*E142,2)</f>
        <v>15865</v>
      </c>
      <c r="H142" s="114" t="s">
        <v>125</v>
      </c>
      <c r="I142" s="115">
        <v>92367</v>
      </c>
    </row>
    <row r="143" spans="1:9" s="126" customFormat="1" ht="25.5">
      <c r="A143" s="121" t="s">
        <v>601</v>
      </c>
      <c r="B143" s="122" t="s">
        <v>602</v>
      </c>
      <c r="C143" s="123" t="s">
        <v>86</v>
      </c>
      <c r="D143" s="131">
        <v>9</v>
      </c>
      <c r="E143" s="125">
        <v>130.93</v>
      </c>
      <c r="F143" s="125">
        <f t="shared" si="14"/>
        <v>1178.37</v>
      </c>
      <c r="H143" s="114" t="s">
        <v>51</v>
      </c>
      <c r="I143" s="115" t="s">
        <v>603</v>
      </c>
    </row>
    <row r="144" spans="1:9" s="126" customFormat="1" ht="25.5">
      <c r="A144" s="121" t="s">
        <v>604</v>
      </c>
      <c r="B144" s="122" t="s">
        <v>605</v>
      </c>
      <c r="C144" s="123" t="s">
        <v>86</v>
      </c>
      <c r="D144" s="131">
        <v>17</v>
      </c>
      <c r="E144" s="125">
        <v>98</v>
      </c>
      <c r="F144" s="125">
        <f t="shared" si="14"/>
        <v>1666</v>
      </c>
      <c r="H144" s="114" t="s">
        <v>51</v>
      </c>
      <c r="I144" s="115" t="s">
        <v>606</v>
      </c>
    </row>
    <row r="145" spans="1:9" s="126" customFormat="1" ht="25.5">
      <c r="A145" s="121" t="s">
        <v>607</v>
      </c>
      <c r="B145" s="122" t="s">
        <v>608</v>
      </c>
      <c r="C145" s="123" t="s">
        <v>86</v>
      </c>
      <c r="D145" s="131">
        <v>2</v>
      </c>
      <c r="E145" s="125">
        <v>216.59</v>
      </c>
      <c r="F145" s="125">
        <f t="shared" si="14"/>
        <v>433.18</v>
      </c>
      <c r="H145" s="114" t="s">
        <v>51</v>
      </c>
      <c r="I145" s="115" t="s">
        <v>609</v>
      </c>
    </row>
    <row r="146" spans="1:9" s="126" customFormat="1" ht="38.25">
      <c r="A146" s="121" t="s">
        <v>610</v>
      </c>
      <c r="B146" s="132" t="s">
        <v>611</v>
      </c>
      <c r="C146" s="130" t="s">
        <v>82</v>
      </c>
      <c r="D146" s="131">
        <v>20</v>
      </c>
      <c r="E146" s="125">
        <v>14.19</v>
      </c>
      <c r="F146" s="125">
        <f t="shared" si="14"/>
        <v>283.8</v>
      </c>
      <c r="H146" s="114" t="s">
        <v>51</v>
      </c>
      <c r="I146" s="115" t="s">
        <v>612</v>
      </c>
    </row>
    <row r="147" spans="1:9" ht="12.75">
      <c r="A147" s="116" t="s">
        <v>613</v>
      </c>
      <c r="B147" s="117" t="s">
        <v>614</v>
      </c>
      <c r="C147" s="118"/>
      <c r="D147" s="119"/>
      <c r="E147" s="120"/>
      <c r="F147" s="120">
        <f>SUM(F148:F152)</f>
        <v>1010.13</v>
      </c>
      <c r="H147" s="114"/>
      <c r="I147" s="115"/>
    </row>
    <row r="148" spans="1:9" s="126" customFormat="1" ht="38.25">
      <c r="A148" s="121" t="s">
        <v>615</v>
      </c>
      <c r="B148" s="132" t="s">
        <v>616</v>
      </c>
      <c r="C148" s="123" t="s">
        <v>55</v>
      </c>
      <c r="D148" s="131">
        <v>4.5</v>
      </c>
      <c r="E148" s="125">
        <v>79.66</v>
      </c>
      <c r="F148" s="125">
        <f aca="true" t="shared" si="15" ref="F148:F152">ROUND(D148*E148,2)</f>
        <v>358.47</v>
      </c>
      <c r="H148" s="114" t="s">
        <v>125</v>
      </c>
      <c r="I148" s="115">
        <v>96370</v>
      </c>
    </row>
    <row r="149" spans="1:9" s="126" customFormat="1" ht="38.25">
      <c r="A149" s="121" t="s">
        <v>617</v>
      </c>
      <c r="B149" s="132" t="s">
        <v>618</v>
      </c>
      <c r="C149" s="130" t="s">
        <v>142</v>
      </c>
      <c r="D149" s="131">
        <v>0.7</v>
      </c>
      <c r="E149" s="125">
        <v>678.67</v>
      </c>
      <c r="F149" s="125">
        <f t="shared" si="15"/>
        <v>475.07</v>
      </c>
      <c r="H149" s="114" t="s">
        <v>51</v>
      </c>
      <c r="I149" s="115" t="s">
        <v>619</v>
      </c>
    </row>
    <row r="150" spans="1:9" s="126" customFormat="1" ht="22.5">
      <c r="A150" s="121" t="s">
        <v>620</v>
      </c>
      <c r="B150" s="122" t="s">
        <v>621</v>
      </c>
      <c r="C150" s="123" t="s">
        <v>55</v>
      </c>
      <c r="D150" s="131">
        <v>4.5</v>
      </c>
      <c r="E150" s="125">
        <v>19.28</v>
      </c>
      <c r="F150" s="125">
        <f t="shared" si="15"/>
        <v>86.76</v>
      </c>
      <c r="H150" s="114" t="s">
        <v>125</v>
      </c>
      <c r="I150" s="115">
        <v>88497</v>
      </c>
    </row>
    <row r="151" spans="1:9" s="126" customFormat="1" ht="22.5">
      <c r="A151" s="121" t="s">
        <v>622</v>
      </c>
      <c r="B151" s="132" t="s">
        <v>623</v>
      </c>
      <c r="C151" s="130" t="s">
        <v>55</v>
      </c>
      <c r="D151" s="131">
        <v>4.5</v>
      </c>
      <c r="E151" s="125">
        <v>3.51</v>
      </c>
      <c r="F151" s="125">
        <f t="shared" si="15"/>
        <v>15.8</v>
      </c>
      <c r="H151" s="114" t="s">
        <v>125</v>
      </c>
      <c r="I151" s="115">
        <v>88485</v>
      </c>
    </row>
    <row r="152" spans="1:9" s="126" customFormat="1" ht="25.5">
      <c r="A152" s="157" t="s">
        <v>624</v>
      </c>
      <c r="B152" s="132" t="s">
        <v>625</v>
      </c>
      <c r="C152" s="130" t="s">
        <v>55</v>
      </c>
      <c r="D152" s="131">
        <v>4.5</v>
      </c>
      <c r="E152" s="125">
        <v>16.45</v>
      </c>
      <c r="F152" s="125">
        <f t="shared" si="15"/>
        <v>74.03</v>
      </c>
      <c r="H152" s="114" t="s">
        <v>125</v>
      </c>
      <c r="I152" s="115">
        <v>88489</v>
      </c>
    </row>
    <row r="153" spans="1:9" ht="12.75">
      <c r="A153" s="109">
        <v>9</v>
      </c>
      <c r="B153" s="109" t="s">
        <v>626</v>
      </c>
      <c r="C153" s="110"/>
      <c r="D153" s="111"/>
      <c r="E153" s="112"/>
      <c r="F153" s="112">
        <f>F154</f>
        <v>1676.05</v>
      </c>
      <c r="G153" s="113"/>
      <c r="H153" s="114"/>
      <c r="I153" s="115"/>
    </row>
    <row r="154" spans="1:9" ht="12.75">
      <c r="A154" s="116" t="s">
        <v>627</v>
      </c>
      <c r="B154" s="117" t="s">
        <v>628</v>
      </c>
      <c r="C154" s="118"/>
      <c r="D154" s="119"/>
      <c r="E154" s="120"/>
      <c r="F154" s="120">
        <f>SUM(F155)</f>
        <v>1676.05</v>
      </c>
      <c r="H154" s="114"/>
      <c r="I154" s="115"/>
    </row>
    <row r="155" spans="1:9" s="126" customFormat="1" ht="51">
      <c r="A155" s="121" t="s">
        <v>629</v>
      </c>
      <c r="B155" s="132" t="s">
        <v>630</v>
      </c>
      <c r="C155" s="123" t="s">
        <v>86</v>
      </c>
      <c r="D155" s="131">
        <v>1</v>
      </c>
      <c r="E155" s="125">
        <v>1676.05</v>
      </c>
      <c r="F155" s="125">
        <f>ROUND(D155*E155,2)</f>
        <v>1676.05</v>
      </c>
      <c r="H155" s="114" t="s">
        <v>51</v>
      </c>
      <c r="I155" s="115" t="s">
        <v>631</v>
      </c>
    </row>
    <row r="156" spans="1:9" s="145" customFormat="1" ht="12.75">
      <c r="A156" s="137"/>
      <c r="B156" s="138"/>
      <c r="C156" s="139"/>
      <c r="D156" s="140"/>
      <c r="E156" s="141"/>
      <c r="F156" s="125"/>
      <c r="G156" s="142"/>
      <c r="H156" s="143"/>
      <c r="I156" s="144"/>
    </row>
    <row r="157" spans="1:6" ht="12.75">
      <c r="A157" s="146"/>
      <c r="B157" s="147"/>
      <c r="C157" s="147"/>
      <c r="D157" s="148"/>
      <c r="E157" s="149" t="s">
        <v>3</v>
      </c>
      <c r="F157" s="150">
        <f>F10+F30+F60+F65+F73+F100+F110+F131+F153</f>
        <v>93255.25</v>
      </c>
    </row>
    <row r="159" ht="12.75">
      <c r="F159" s="151">
        <f>IF(ROUND((SUM(F10:F155)/3),2)=F157," ","EXISTE ALGUM ERRO DE SOMATÓRIO")</f>
        <v>0</v>
      </c>
    </row>
  </sheetData>
  <sheetProtection selectLockedCells="1" selectUnlockedCells="1"/>
  <mergeCells count="2">
    <mergeCell ref="A8:D8"/>
    <mergeCell ref="H8:I8"/>
  </mergeCells>
  <conditionalFormatting sqref="B137:C137">
    <cfRule type="expression" priority="1" dxfId="0" stopIfTrue="1">
      <formula>ISERROR(B137)</formula>
    </cfRule>
  </conditionalFormatting>
  <conditionalFormatting sqref="B138:C138">
    <cfRule type="expression" priority="2" dxfId="0" stopIfTrue="1">
      <formula>ISERROR(B138)</formula>
    </cfRule>
  </conditionalFormatting>
  <conditionalFormatting sqref="B139:C139">
    <cfRule type="expression" priority="3" dxfId="0" stopIfTrue="1">
      <formula>ISERROR(B139)</formula>
    </cfRule>
  </conditionalFormatting>
  <conditionalFormatting sqref="B149:C149">
    <cfRule type="expression" priority="4" dxfId="0" stopIfTrue="1">
      <formula>ISERROR(B149)</formula>
    </cfRule>
  </conditionalFormatting>
  <conditionalFormatting sqref="B150:C150">
    <cfRule type="expression" priority="5" dxfId="0" stopIfTrue="1">
      <formula>ISERROR(B150)</formula>
    </cfRule>
  </conditionalFormatting>
  <printOptions horizontalCentered="1"/>
  <pageMargins left="0.7875" right="0.19652777777777777" top="0.39375" bottom="0.7868055555555555" header="0.5118055555555555" footer="0.19652777777777777"/>
  <pageSetup horizontalDpi="300" verticalDpi="300" orientation="portrait" paperSize="9" scale="56"/>
  <headerFooter alignWithMargins="0">
    <oddFooter>&amp;L&amp;"Arial,Normal"Reforma do estacionamento, paisagismo, sistema de irrigação, adequação do SPCI e demais intervenções complementares
Campus de Timóteo do CEFET-MG&amp;RPágina &amp;P de &amp;N</oddFooter>
  </headerFooter>
  <rowBreaks count="1" manualBreakCount="1">
    <brk id="140" max="255" man="1"/>
  </rowBreaks>
  <drawing r:id="rId1"/>
</worksheet>
</file>

<file path=xl/worksheets/sheet6.xml><?xml version="1.0" encoding="utf-8"?>
<worksheet xmlns="http://schemas.openxmlformats.org/spreadsheetml/2006/main" xmlns:r="http://schemas.openxmlformats.org/officeDocument/2006/relationships">
  <sheetPr>
    <tabColor indexed="21"/>
  </sheetPr>
  <dimension ref="A1:I56"/>
  <sheetViews>
    <sheetView view="pageBreakPreview" zoomScaleSheetLayoutView="100" workbookViewId="0" topLeftCell="A1">
      <pane ySplit="9" topLeftCell="A10" activePane="bottomLeft" state="frozen"/>
      <selection pane="topLeft" activeCell="A1" sqref="A1"/>
      <selection pane="bottomLeft" activeCell="A8" sqref="A8"/>
    </sheetView>
  </sheetViews>
  <sheetFormatPr defaultColWidth="9.140625" defaultRowHeight="12.75"/>
  <cols>
    <col min="1" max="1" width="11.7109375" style="1" customWidth="1"/>
    <col min="2" max="2" width="70.7109375" style="2" customWidth="1"/>
    <col min="3" max="3" width="8.57421875" style="2" customWidth="1"/>
    <col min="4" max="4" width="10.28125" style="3" customWidth="1"/>
    <col min="5" max="5" width="16.421875" style="3" customWidth="1"/>
    <col min="6" max="6" width="21.421875" style="3" customWidth="1"/>
    <col min="7" max="7" width="2.7109375" style="95" customWidth="1"/>
    <col min="8" max="8" width="12.7109375" style="96" customWidth="1"/>
    <col min="9" max="9" width="12.7109375" style="97" customWidth="1"/>
    <col min="10" max="16384" width="9.140625" style="3" customWidth="1"/>
  </cols>
  <sheetData>
    <row r="1" spans="1:9" ht="12.75">
      <c r="A1" s="4"/>
      <c r="B1" s="5"/>
      <c r="C1" s="6"/>
      <c r="D1" s="7"/>
      <c r="E1" s="7"/>
      <c r="F1" s="8"/>
      <c r="H1" s="98"/>
      <c r="I1" s="99"/>
    </row>
    <row r="2" spans="1:6" ht="12.75">
      <c r="A2" s="9"/>
      <c r="B2" s="10"/>
      <c r="C2" s="11"/>
      <c r="D2" s="12"/>
      <c r="E2" s="12"/>
      <c r="F2" s="13"/>
    </row>
    <row r="3" spans="1:6" ht="12.75">
      <c r="A3" s="9"/>
      <c r="B3" s="10"/>
      <c r="C3" s="11"/>
      <c r="D3" s="12"/>
      <c r="E3" s="12"/>
      <c r="F3" s="13"/>
    </row>
    <row r="4" spans="1:6" ht="12.75">
      <c r="A4" s="9"/>
      <c r="B4" s="10"/>
      <c r="C4" s="11"/>
      <c r="D4" s="12"/>
      <c r="E4" s="12"/>
      <c r="F4" s="13"/>
    </row>
    <row r="5" spans="1:6" ht="12.75">
      <c r="A5" s="9"/>
      <c r="B5" s="10"/>
      <c r="C5" s="11"/>
      <c r="D5" s="12"/>
      <c r="E5" s="12"/>
      <c r="F5" s="13"/>
    </row>
    <row r="6" spans="1:6" ht="12.75">
      <c r="A6" s="9"/>
      <c r="B6" s="14"/>
      <c r="C6" s="15"/>
      <c r="D6" s="16"/>
      <c r="E6" s="16"/>
      <c r="F6" s="17"/>
    </row>
    <row r="7" spans="1:6" ht="12.75">
      <c r="A7" s="18"/>
      <c r="B7" s="19"/>
      <c r="C7" s="20"/>
      <c r="D7" s="21"/>
      <c r="E7" s="21"/>
      <c r="F7" s="22"/>
    </row>
    <row r="8" spans="1:9" ht="18" customHeight="1">
      <c r="A8" s="100" t="s">
        <v>632</v>
      </c>
      <c r="B8" s="100"/>
      <c r="C8" s="100"/>
      <c r="D8" s="100"/>
      <c r="E8" s="101" t="s">
        <v>36</v>
      </c>
      <c r="F8" s="102">
        <f>LDI!C45</f>
        <v>0.2592</v>
      </c>
      <c r="H8" s="103" t="s">
        <v>37</v>
      </c>
      <c r="I8" s="103"/>
    </row>
    <row r="9" spans="1:9" ht="36">
      <c r="A9" s="104" t="s">
        <v>38</v>
      </c>
      <c r="B9" s="104" t="s">
        <v>39</v>
      </c>
      <c r="C9" s="104" t="s">
        <v>40</v>
      </c>
      <c r="D9" s="105" t="s">
        <v>41</v>
      </c>
      <c r="E9" s="106" t="s">
        <v>42</v>
      </c>
      <c r="F9" s="105" t="s">
        <v>43</v>
      </c>
      <c r="H9" s="107" t="s">
        <v>44</v>
      </c>
      <c r="I9" s="108" t="s">
        <v>45</v>
      </c>
    </row>
    <row r="10" spans="1:9" ht="12.75">
      <c r="A10" s="109">
        <v>1</v>
      </c>
      <c r="B10" s="109" t="s">
        <v>633</v>
      </c>
      <c r="C10" s="110"/>
      <c r="D10" s="111"/>
      <c r="E10" s="112"/>
      <c r="F10" s="112">
        <f>F11+F17+F32</f>
        <v>16681.84</v>
      </c>
      <c r="G10" s="113"/>
      <c r="H10" s="114"/>
      <c r="I10" s="115"/>
    </row>
    <row r="11" spans="1:9" ht="12.75">
      <c r="A11" s="116" t="s">
        <v>47</v>
      </c>
      <c r="B11" s="117" t="s">
        <v>121</v>
      </c>
      <c r="C11" s="118"/>
      <c r="D11" s="119"/>
      <c r="E11" s="120"/>
      <c r="F11" s="120">
        <f>SUM(F12:F16)</f>
        <v>2830.31</v>
      </c>
      <c r="H11" s="114"/>
      <c r="I11" s="115"/>
    </row>
    <row r="12" spans="1:9" s="126" customFormat="1" ht="25.5">
      <c r="A12" s="121" t="s">
        <v>49</v>
      </c>
      <c r="B12" s="122" t="s">
        <v>634</v>
      </c>
      <c r="C12" s="123" t="s">
        <v>55</v>
      </c>
      <c r="D12" s="131">
        <v>107.80000000000001</v>
      </c>
      <c r="E12" s="125">
        <v>13.94</v>
      </c>
      <c r="F12" s="125">
        <f aca="true" t="shared" si="0" ref="F12:F16">ROUND(D12*E12,2)</f>
        <v>1502.73</v>
      </c>
      <c r="H12" s="114" t="s">
        <v>51</v>
      </c>
      <c r="I12" s="115" t="s">
        <v>635</v>
      </c>
    </row>
    <row r="13" spans="1:9" s="126" customFormat="1" ht="25.5">
      <c r="A13" s="121" t="s">
        <v>53</v>
      </c>
      <c r="B13" s="122" t="s">
        <v>636</v>
      </c>
      <c r="C13" s="123" t="s">
        <v>142</v>
      </c>
      <c r="D13" s="131">
        <v>1.9600000000000002</v>
      </c>
      <c r="E13" s="125">
        <v>76.65</v>
      </c>
      <c r="F13" s="125">
        <f t="shared" si="0"/>
        <v>150.23</v>
      </c>
      <c r="H13" s="114" t="s">
        <v>125</v>
      </c>
      <c r="I13" s="115">
        <v>97625</v>
      </c>
    </row>
    <row r="14" spans="1:9" s="126" customFormat="1" ht="25.5">
      <c r="A14" s="121" t="s">
        <v>58</v>
      </c>
      <c r="B14" s="132" t="s">
        <v>124</v>
      </c>
      <c r="C14" s="123" t="s">
        <v>55</v>
      </c>
      <c r="D14" s="131">
        <v>35</v>
      </c>
      <c r="E14" s="125">
        <v>13.2</v>
      </c>
      <c r="F14" s="125">
        <f t="shared" si="0"/>
        <v>462</v>
      </c>
      <c r="H14" s="114" t="s">
        <v>125</v>
      </c>
      <c r="I14" s="115">
        <v>97635</v>
      </c>
    </row>
    <row r="15" spans="1:9" s="126" customFormat="1" ht="33.75">
      <c r="A15" s="121" t="s">
        <v>63</v>
      </c>
      <c r="B15" s="132" t="s">
        <v>122</v>
      </c>
      <c r="C15" s="123" t="s">
        <v>82</v>
      </c>
      <c r="D15" s="131">
        <v>15</v>
      </c>
      <c r="E15" s="125">
        <v>11.35</v>
      </c>
      <c r="F15" s="125">
        <f t="shared" si="0"/>
        <v>170.25</v>
      </c>
      <c r="H15" s="114" t="s">
        <v>61</v>
      </c>
      <c r="I15" s="115" t="s">
        <v>123</v>
      </c>
    </row>
    <row r="16" spans="1:9" s="126" customFormat="1" ht="33.75">
      <c r="A16" s="121" t="s">
        <v>66</v>
      </c>
      <c r="B16" s="122" t="s">
        <v>126</v>
      </c>
      <c r="C16" s="123" t="s">
        <v>55</v>
      </c>
      <c r="D16" s="131">
        <v>30</v>
      </c>
      <c r="E16" s="125">
        <v>18.17</v>
      </c>
      <c r="F16" s="125">
        <f t="shared" si="0"/>
        <v>545.1</v>
      </c>
      <c r="H16" s="114" t="s">
        <v>61</v>
      </c>
      <c r="I16" s="115" t="s">
        <v>127</v>
      </c>
    </row>
    <row r="17" spans="1:9" ht="12.75">
      <c r="A17" s="116" t="s">
        <v>72</v>
      </c>
      <c r="B17" s="117" t="s">
        <v>637</v>
      </c>
      <c r="C17" s="118"/>
      <c r="D17" s="119"/>
      <c r="E17" s="120"/>
      <c r="F17" s="120">
        <f>SUM(F18:F31)</f>
        <v>10459.12</v>
      </c>
      <c r="H17" s="114"/>
      <c r="I17" s="115"/>
    </row>
    <row r="18" spans="1:9" s="126" customFormat="1" ht="33.75">
      <c r="A18" s="121" t="s">
        <v>74</v>
      </c>
      <c r="B18" s="122" t="s">
        <v>638</v>
      </c>
      <c r="C18" s="123" t="s">
        <v>82</v>
      </c>
      <c r="D18" s="131">
        <v>35</v>
      </c>
      <c r="E18" s="125">
        <v>30.61</v>
      </c>
      <c r="F18" s="125">
        <f aca="true" t="shared" si="1" ref="F18:F31">ROUND(D18*E18,2)</f>
        <v>1071.35</v>
      </c>
      <c r="H18" s="114" t="s">
        <v>61</v>
      </c>
      <c r="I18" s="115" t="s">
        <v>639</v>
      </c>
    </row>
    <row r="19" spans="1:9" s="126" customFormat="1" ht="51">
      <c r="A19" s="121" t="s">
        <v>77</v>
      </c>
      <c r="B19" s="122" t="s">
        <v>640</v>
      </c>
      <c r="C19" s="123" t="s">
        <v>178</v>
      </c>
      <c r="D19" s="131">
        <v>40.949999999999996</v>
      </c>
      <c r="E19" s="125">
        <v>15.37</v>
      </c>
      <c r="F19" s="125">
        <f t="shared" si="1"/>
        <v>629.4</v>
      </c>
      <c r="H19" s="114" t="s">
        <v>56</v>
      </c>
      <c r="I19" s="115" t="s">
        <v>179</v>
      </c>
    </row>
    <row r="20" spans="1:9" s="126" customFormat="1" ht="38.25">
      <c r="A20" s="121" t="s">
        <v>80</v>
      </c>
      <c r="B20" s="122" t="s">
        <v>641</v>
      </c>
      <c r="C20" s="123" t="s">
        <v>142</v>
      </c>
      <c r="D20" s="131">
        <v>1.0990000000000002</v>
      </c>
      <c r="E20" s="125">
        <v>876.25</v>
      </c>
      <c r="F20" s="125">
        <f t="shared" si="1"/>
        <v>963</v>
      </c>
      <c r="H20" s="114" t="s">
        <v>56</v>
      </c>
      <c r="I20" s="115" t="s">
        <v>182</v>
      </c>
    </row>
    <row r="21" spans="1:9" s="126" customFormat="1" ht="25.5">
      <c r="A21" s="121" t="s">
        <v>84</v>
      </c>
      <c r="B21" s="122" t="s">
        <v>642</v>
      </c>
      <c r="C21" s="123" t="s">
        <v>142</v>
      </c>
      <c r="D21" s="131">
        <v>3.5</v>
      </c>
      <c r="E21" s="125">
        <v>80.74</v>
      </c>
      <c r="F21" s="125">
        <f t="shared" si="1"/>
        <v>282.59</v>
      </c>
      <c r="H21" s="114" t="s">
        <v>125</v>
      </c>
      <c r="I21" s="115">
        <v>93358</v>
      </c>
    </row>
    <row r="22" spans="1:9" s="126" customFormat="1" ht="25.5">
      <c r="A22" s="121" t="s">
        <v>88</v>
      </c>
      <c r="B22" s="122" t="s">
        <v>643</v>
      </c>
      <c r="C22" s="123" t="s">
        <v>55</v>
      </c>
      <c r="D22" s="131">
        <v>14</v>
      </c>
      <c r="E22" s="125">
        <v>6.22</v>
      </c>
      <c r="F22" s="125">
        <f t="shared" si="1"/>
        <v>87.08</v>
      </c>
      <c r="H22" s="114" t="s">
        <v>125</v>
      </c>
      <c r="I22" s="115">
        <v>101616</v>
      </c>
    </row>
    <row r="23" spans="1:9" s="126" customFormat="1" ht="63.75">
      <c r="A23" s="121" t="s">
        <v>644</v>
      </c>
      <c r="B23" s="122" t="s">
        <v>645</v>
      </c>
      <c r="C23" s="123" t="s">
        <v>55</v>
      </c>
      <c r="D23" s="131">
        <v>14</v>
      </c>
      <c r="E23" s="125">
        <v>108.9</v>
      </c>
      <c r="F23" s="125">
        <f t="shared" si="1"/>
        <v>1524.6</v>
      </c>
      <c r="H23" s="114" t="s">
        <v>125</v>
      </c>
      <c r="I23" s="115">
        <v>96536</v>
      </c>
    </row>
    <row r="24" spans="1:9" s="126" customFormat="1" ht="51">
      <c r="A24" s="121" t="s">
        <v>646</v>
      </c>
      <c r="B24" s="122" t="s">
        <v>647</v>
      </c>
      <c r="C24" s="123" t="s">
        <v>178</v>
      </c>
      <c r="D24" s="131">
        <v>47.78</v>
      </c>
      <c r="E24" s="125">
        <v>15.37</v>
      </c>
      <c r="F24" s="125">
        <f t="shared" si="1"/>
        <v>734.38</v>
      </c>
      <c r="H24" s="114" t="s">
        <v>56</v>
      </c>
      <c r="I24" s="115" t="s">
        <v>179</v>
      </c>
    </row>
    <row r="25" spans="1:9" s="126" customFormat="1" ht="38.25">
      <c r="A25" s="121" t="s">
        <v>648</v>
      </c>
      <c r="B25" s="122" t="s">
        <v>649</v>
      </c>
      <c r="C25" s="123" t="s">
        <v>142</v>
      </c>
      <c r="D25" s="131">
        <v>1.4</v>
      </c>
      <c r="E25" s="125">
        <v>876.25</v>
      </c>
      <c r="F25" s="125">
        <f t="shared" si="1"/>
        <v>1226.75</v>
      </c>
      <c r="H25" s="114" t="s">
        <v>56</v>
      </c>
      <c r="I25" s="115" t="s">
        <v>182</v>
      </c>
    </row>
    <row r="26" spans="1:9" s="126" customFormat="1" ht="25.5">
      <c r="A26" s="121" t="s">
        <v>650</v>
      </c>
      <c r="B26" s="122" t="s">
        <v>191</v>
      </c>
      <c r="C26" s="123" t="s">
        <v>142</v>
      </c>
      <c r="D26" s="131">
        <v>3.199</v>
      </c>
      <c r="E26" s="125">
        <v>34.36</v>
      </c>
      <c r="F26" s="125">
        <f t="shared" si="1"/>
        <v>109.92</v>
      </c>
      <c r="H26" s="114" t="s">
        <v>125</v>
      </c>
      <c r="I26" s="115">
        <v>93382</v>
      </c>
    </row>
    <row r="27" spans="1:9" s="126" customFormat="1" ht="38.25">
      <c r="A27" s="121" t="s">
        <v>651</v>
      </c>
      <c r="B27" s="122" t="s">
        <v>652</v>
      </c>
      <c r="C27" s="123" t="s">
        <v>55</v>
      </c>
      <c r="D27" s="131">
        <v>21</v>
      </c>
      <c r="E27" s="125">
        <v>4.85</v>
      </c>
      <c r="F27" s="125">
        <f t="shared" si="1"/>
        <v>101.85</v>
      </c>
      <c r="H27" s="114" t="s">
        <v>125</v>
      </c>
      <c r="I27" s="115">
        <v>87879</v>
      </c>
    </row>
    <row r="28" spans="1:9" s="126" customFormat="1" ht="51">
      <c r="A28" s="121" t="s">
        <v>653</v>
      </c>
      <c r="B28" s="122" t="s">
        <v>654</v>
      </c>
      <c r="C28" s="123" t="s">
        <v>55</v>
      </c>
      <c r="D28" s="131">
        <v>21</v>
      </c>
      <c r="E28" s="125">
        <v>42.59</v>
      </c>
      <c r="F28" s="125">
        <f t="shared" si="1"/>
        <v>894.39</v>
      </c>
      <c r="H28" s="114" t="s">
        <v>125</v>
      </c>
      <c r="I28" s="115">
        <v>87529</v>
      </c>
    </row>
    <row r="29" spans="1:9" s="126" customFormat="1" ht="38.25">
      <c r="A29" s="121" t="s">
        <v>655</v>
      </c>
      <c r="B29" s="122" t="s">
        <v>656</v>
      </c>
      <c r="C29" s="123" t="s">
        <v>55</v>
      </c>
      <c r="D29" s="131">
        <v>21</v>
      </c>
      <c r="E29" s="125">
        <v>3.51</v>
      </c>
      <c r="F29" s="125">
        <f t="shared" si="1"/>
        <v>73.71</v>
      </c>
      <c r="H29" s="114" t="s">
        <v>125</v>
      </c>
      <c r="I29" s="115">
        <v>88485</v>
      </c>
    </row>
    <row r="30" spans="1:9" s="126" customFormat="1" ht="38.25">
      <c r="A30" s="121" t="s">
        <v>657</v>
      </c>
      <c r="B30" s="122" t="s">
        <v>658</v>
      </c>
      <c r="C30" s="123" t="s">
        <v>55</v>
      </c>
      <c r="D30" s="131">
        <v>21</v>
      </c>
      <c r="E30" s="125">
        <v>16.45</v>
      </c>
      <c r="F30" s="125">
        <f t="shared" si="1"/>
        <v>345.45</v>
      </c>
      <c r="H30" s="114" t="s">
        <v>125</v>
      </c>
      <c r="I30" s="115">
        <v>88489</v>
      </c>
    </row>
    <row r="31" spans="1:9" s="126" customFormat="1" ht="25.5">
      <c r="A31" s="121" t="s">
        <v>659</v>
      </c>
      <c r="B31" s="122" t="s">
        <v>660</v>
      </c>
      <c r="C31" s="123" t="s">
        <v>82</v>
      </c>
      <c r="D31" s="131">
        <v>35</v>
      </c>
      <c r="E31" s="125">
        <v>68.99</v>
      </c>
      <c r="F31" s="125">
        <f t="shared" si="1"/>
        <v>2414.65</v>
      </c>
      <c r="H31" s="114" t="s">
        <v>51</v>
      </c>
      <c r="I31" s="115" t="s">
        <v>661</v>
      </c>
    </row>
    <row r="32" spans="1:9" ht="12.75">
      <c r="A32" s="116" t="s">
        <v>91</v>
      </c>
      <c r="B32" s="117" t="s">
        <v>662</v>
      </c>
      <c r="C32" s="118"/>
      <c r="D32" s="119"/>
      <c r="E32" s="120"/>
      <c r="F32" s="120">
        <f>SUM(F33:F36)</f>
        <v>3392.4100000000003</v>
      </c>
      <c r="H32" s="114"/>
      <c r="I32" s="115"/>
    </row>
    <row r="33" spans="1:9" s="126" customFormat="1" ht="38.25">
      <c r="A33" s="121" t="s">
        <v>93</v>
      </c>
      <c r="B33" s="132" t="s">
        <v>156</v>
      </c>
      <c r="C33" s="130" t="s">
        <v>82</v>
      </c>
      <c r="D33" s="131">
        <v>15</v>
      </c>
      <c r="E33" s="125">
        <v>102.96</v>
      </c>
      <c r="F33" s="125">
        <f aca="true" t="shared" si="2" ref="F33:F36">ROUND(D33*E33,2)</f>
        <v>1544.4</v>
      </c>
      <c r="H33" s="114" t="s">
        <v>51</v>
      </c>
      <c r="I33" s="115" t="s">
        <v>157</v>
      </c>
    </row>
    <row r="34" spans="1:9" s="126" customFormat="1" ht="25.5">
      <c r="A34" s="121" t="s">
        <v>96</v>
      </c>
      <c r="B34" s="122" t="s">
        <v>225</v>
      </c>
      <c r="C34" s="123" t="s">
        <v>55</v>
      </c>
      <c r="D34" s="131">
        <v>65</v>
      </c>
      <c r="E34" s="125">
        <v>5.1</v>
      </c>
      <c r="F34" s="125">
        <f t="shared" si="2"/>
        <v>331.5</v>
      </c>
      <c r="H34" s="114" t="s">
        <v>56</v>
      </c>
      <c r="I34" s="115" t="s">
        <v>226</v>
      </c>
    </row>
    <row r="35" spans="1:9" s="126" customFormat="1" ht="38.25">
      <c r="A35" s="121" t="s">
        <v>99</v>
      </c>
      <c r="B35" s="132" t="s">
        <v>618</v>
      </c>
      <c r="C35" s="130" t="s">
        <v>142</v>
      </c>
      <c r="D35" s="131">
        <v>1.5750000000000002</v>
      </c>
      <c r="E35" s="125">
        <v>678.67</v>
      </c>
      <c r="F35" s="125">
        <f t="shared" si="2"/>
        <v>1068.91</v>
      </c>
      <c r="H35" s="114" t="s">
        <v>51</v>
      </c>
      <c r="I35" s="115" t="s">
        <v>619</v>
      </c>
    </row>
    <row r="36" spans="1:9" s="126" customFormat="1" ht="51">
      <c r="A36" s="121" t="s">
        <v>144</v>
      </c>
      <c r="B36" s="132" t="s">
        <v>663</v>
      </c>
      <c r="C36" s="130" t="s">
        <v>55</v>
      </c>
      <c r="D36" s="131">
        <v>30</v>
      </c>
      <c r="E36" s="125">
        <v>14.92</v>
      </c>
      <c r="F36" s="125">
        <f t="shared" si="2"/>
        <v>447.6</v>
      </c>
      <c r="H36" s="114" t="s">
        <v>51</v>
      </c>
      <c r="I36" s="115" t="s">
        <v>664</v>
      </c>
    </row>
    <row r="37" spans="1:9" ht="12.75">
      <c r="A37" s="109">
        <v>2</v>
      </c>
      <c r="B37" s="109" t="s">
        <v>665</v>
      </c>
      <c r="C37" s="110"/>
      <c r="D37" s="111"/>
      <c r="E37" s="112"/>
      <c r="F37" s="112">
        <f>F38+F44</f>
        <v>42318.79000000001</v>
      </c>
      <c r="G37" s="113"/>
      <c r="H37" s="114"/>
      <c r="I37" s="115"/>
    </row>
    <row r="38" spans="1:9" ht="12.75">
      <c r="A38" s="116" t="s">
        <v>151</v>
      </c>
      <c r="B38" s="117" t="s">
        <v>666</v>
      </c>
      <c r="C38" s="118"/>
      <c r="D38" s="119"/>
      <c r="E38" s="120"/>
      <c r="F38" s="120">
        <f>SUM(F39:F43)</f>
        <v>9030.130000000001</v>
      </c>
      <c r="H38" s="114"/>
      <c r="I38" s="115"/>
    </row>
    <row r="39" spans="1:9" s="126" customFormat="1" ht="22.5">
      <c r="A39" s="157" t="s">
        <v>153</v>
      </c>
      <c r="B39" s="132" t="s">
        <v>212</v>
      </c>
      <c r="C39" s="130" t="s">
        <v>142</v>
      </c>
      <c r="D39" s="131">
        <v>19.5</v>
      </c>
      <c r="E39" s="125">
        <v>80.74</v>
      </c>
      <c r="F39" s="125">
        <f aca="true" t="shared" si="3" ref="F39:F43">ROUND(D39*E39,2)</f>
        <v>1574.43</v>
      </c>
      <c r="H39" s="114" t="s">
        <v>125</v>
      </c>
      <c r="I39" s="115">
        <v>93358</v>
      </c>
    </row>
    <row r="40" spans="1:9" s="126" customFormat="1" ht="25.5">
      <c r="A40" s="157" t="s">
        <v>155</v>
      </c>
      <c r="B40" s="122" t="s">
        <v>667</v>
      </c>
      <c r="C40" s="123" t="s">
        <v>86</v>
      </c>
      <c r="D40" s="131">
        <v>22</v>
      </c>
      <c r="E40" s="125">
        <v>163.04</v>
      </c>
      <c r="F40" s="125">
        <f t="shared" si="3"/>
        <v>3586.88</v>
      </c>
      <c r="H40" s="114" t="s">
        <v>51</v>
      </c>
      <c r="I40" s="115" t="s">
        <v>668</v>
      </c>
    </row>
    <row r="41" spans="1:9" s="126" customFormat="1" ht="25.5">
      <c r="A41" s="157" t="s">
        <v>158</v>
      </c>
      <c r="B41" s="122" t="s">
        <v>669</v>
      </c>
      <c r="C41" s="123" t="s">
        <v>86</v>
      </c>
      <c r="D41" s="131">
        <v>22</v>
      </c>
      <c r="E41" s="125">
        <v>23.37</v>
      </c>
      <c r="F41" s="125">
        <f t="shared" si="3"/>
        <v>514.14</v>
      </c>
      <c r="H41" s="114" t="s">
        <v>56</v>
      </c>
      <c r="I41" s="115" t="s">
        <v>670</v>
      </c>
    </row>
    <row r="42" spans="1:9" s="126" customFormat="1" ht="38.25">
      <c r="A42" s="157" t="s">
        <v>161</v>
      </c>
      <c r="B42" s="122" t="s">
        <v>671</v>
      </c>
      <c r="C42" s="123" t="s">
        <v>86</v>
      </c>
      <c r="D42" s="131">
        <v>22</v>
      </c>
      <c r="E42" s="125">
        <v>122.03</v>
      </c>
      <c r="F42" s="125">
        <f t="shared" si="3"/>
        <v>2684.66</v>
      </c>
      <c r="H42" s="114" t="s">
        <v>61</v>
      </c>
      <c r="I42" s="115" t="s">
        <v>672</v>
      </c>
    </row>
    <row r="43" spans="1:9" s="126" customFormat="1" ht="25.5">
      <c r="A43" s="157" t="s">
        <v>437</v>
      </c>
      <c r="B43" s="122" t="s">
        <v>191</v>
      </c>
      <c r="C43" s="123" t="s">
        <v>142</v>
      </c>
      <c r="D43" s="131">
        <v>19.5</v>
      </c>
      <c r="E43" s="125">
        <v>34.36</v>
      </c>
      <c r="F43" s="125">
        <f t="shared" si="3"/>
        <v>670.02</v>
      </c>
      <c r="H43" s="114" t="s">
        <v>125</v>
      </c>
      <c r="I43" s="115">
        <v>93382</v>
      </c>
    </row>
    <row r="44" spans="1:9" ht="12.75">
      <c r="A44" s="116" t="s">
        <v>163</v>
      </c>
      <c r="B44" s="117" t="s">
        <v>673</v>
      </c>
      <c r="C44" s="118"/>
      <c r="D44" s="119"/>
      <c r="E44" s="120"/>
      <c r="F44" s="120">
        <f>SUM(F45:F49)</f>
        <v>33288.66</v>
      </c>
      <c r="H44" s="114"/>
      <c r="I44" s="115"/>
    </row>
    <row r="45" spans="1:9" s="126" customFormat="1" ht="33.75">
      <c r="A45" s="121" t="s">
        <v>166</v>
      </c>
      <c r="B45" s="122" t="s">
        <v>674</v>
      </c>
      <c r="C45" s="123" t="s">
        <v>82</v>
      </c>
      <c r="D45" s="154">
        <v>260</v>
      </c>
      <c r="E45" s="125">
        <v>63.7</v>
      </c>
      <c r="F45" s="125">
        <f aca="true" t="shared" si="4" ref="F45:F49">ROUND(D45*E45,2)</f>
        <v>16562</v>
      </c>
      <c r="H45" s="114" t="s">
        <v>61</v>
      </c>
      <c r="I45" s="115" t="s">
        <v>675</v>
      </c>
    </row>
    <row r="46" spans="1:9" s="126" customFormat="1" ht="38.25">
      <c r="A46" s="121" t="s">
        <v>169</v>
      </c>
      <c r="B46" s="122" t="s">
        <v>676</v>
      </c>
      <c r="C46" s="123" t="s">
        <v>82</v>
      </c>
      <c r="D46" s="154">
        <v>260</v>
      </c>
      <c r="E46" s="125">
        <v>52.26</v>
      </c>
      <c r="F46" s="125">
        <f t="shared" si="4"/>
        <v>13587.6</v>
      </c>
      <c r="H46" s="114" t="s">
        <v>61</v>
      </c>
      <c r="I46" s="115" t="s">
        <v>677</v>
      </c>
    </row>
    <row r="47" spans="1:9" s="126" customFormat="1" ht="38.25">
      <c r="A47" s="121" t="s">
        <v>171</v>
      </c>
      <c r="B47" s="122" t="s">
        <v>678</v>
      </c>
      <c r="C47" s="123" t="s">
        <v>82</v>
      </c>
      <c r="D47" s="154">
        <v>50</v>
      </c>
      <c r="E47" s="125">
        <v>34.85</v>
      </c>
      <c r="F47" s="125">
        <f t="shared" si="4"/>
        <v>1742.5</v>
      </c>
      <c r="H47" s="114" t="s">
        <v>61</v>
      </c>
      <c r="I47" s="115" t="s">
        <v>679</v>
      </c>
    </row>
    <row r="48" spans="1:9" s="126" customFormat="1" ht="12.75">
      <c r="A48" s="121" t="s">
        <v>174</v>
      </c>
      <c r="B48" s="122" t="s">
        <v>680</v>
      </c>
      <c r="C48" s="123" t="s">
        <v>86</v>
      </c>
      <c r="D48" s="154">
        <v>44</v>
      </c>
      <c r="E48" s="125">
        <v>22.29</v>
      </c>
      <c r="F48" s="125">
        <f t="shared" si="4"/>
        <v>980.76</v>
      </c>
      <c r="H48" s="114" t="s">
        <v>51</v>
      </c>
      <c r="I48" s="115" t="s">
        <v>681</v>
      </c>
    </row>
    <row r="49" spans="1:9" s="126" customFormat="1" ht="25.5">
      <c r="A49" s="121" t="s">
        <v>176</v>
      </c>
      <c r="B49" s="122" t="s">
        <v>682</v>
      </c>
      <c r="C49" s="123" t="s">
        <v>86</v>
      </c>
      <c r="D49" s="154">
        <v>5</v>
      </c>
      <c r="E49" s="125">
        <v>83.16</v>
      </c>
      <c r="F49" s="125">
        <f t="shared" si="4"/>
        <v>415.8</v>
      </c>
      <c r="H49" s="114" t="s">
        <v>51</v>
      </c>
      <c r="I49" s="115" t="s">
        <v>683</v>
      </c>
    </row>
    <row r="50" spans="1:9" ht="12.75">
      <c r="A50" s="109">
        <v>3</v>
      </c>
      <c r="B50" s="109" t="s">
        <v>389</v>
      </c>
      <c r="C50" s="110"/>
      <c r="D50" s="111"/>
      <c r="E50" s="112"/>
      <c r="F50" s="112">
        <f>F51</f>
        <v>755.8</v>
      </c>
      <c r="G50" s="113"/>
      <c r="H50" s="114"/>
      <c r="I50" s="115"/>
    </row>
    <row r="51" spans="1:9" ht="12.75">
      <c r="A51" s="116" t="s">
        <v>291</v>
      </c>
      <c r="B51" s="117" t="s">
        <v>391</v>
      </c>
      <c r="C51" s="118"/>
      <c r="D51" s="119"/>
      <c r="E51" s="120"/>
      <c r="F51" s="120">
        <f>SUM(F52)</f>
        <v>755.8</v>
      </c>
      <c r="H51" s="114"/>
      <c r="I51" s="115"/>
    </row>
    <row r="52" spans="1:9" s="126" customFormat="1" ht="25.5">
      <c r="A52" s="121" t="s">
        <v>294</v>
      </c>
      <c r="B52" s="122" t="s">
        <v>396</v>
      </c>
      <c r="C52" s="123" t="s">
        <v>142</v>
      </c>
      <c r="D52" s="131">
        <v>10</v>
      </c>
      <c r="E52" s="125">
        <v>75.58</v>
      </c>
      <c r="F52" s="125">
        <f>ROUND(D52*E52,2)</f>
        <v>755.8</v>
      </c>
      <c r="H52" s="114" t="s">
        <v>51</v>
      </c>
      <c r="I52" s="115" t="s">
        <v>397</v>
      </c>
    </row>
    <row r="53" spans="1:9" s="145" customFormat="1" ht="12.75">
      <c r="A53" s="137"/>
      <c r="B53" s="138"/>
      <c r="C53" s="139"/>
      <c r="D53" s="140"/>
      <c r="E53" s="141"/>
      <c r="F53" s="125"/>
      <c r="G53" s="142"/>
      <c r="H53" s="143"/>
      <c r="I53" s="144"/>
    </row>
    <row r="54" spans="1:6" ht="12.75">
      <c r="A54" s="146"/>
      <c r="B54" s="147"/>
      <c r="C54" s="147"/>
      <c r="D54" s="148"/>
      <c r="E54" s="149" t="s">
        <v>3</v>
      </c>
      <c r="F54" s="150">
        <f>F10+F37+F50</f>
        <v>59756.43000000001</v>
      </c>
    </row>
    <row r="56" spans="1:9" s="95" customFormat="1" ht="12.75">
      <c r="A56" s="1"/>
      <c r="B56" s="2"/>
      <c r="C56" s="2"/>
      <c r="D56" s="3"/>
      <c r="E56" s="3"/>
      <c r="F56" s="151">
        <f>IF(ROUND((SUM(F10:F52)/3),2)=F54," ","EXISTE ALGUM ERRO DE SOMATÓRIO")</f>
        <v>0</v>
      </c>
      <c r="H56" s="96"/>
      <c r="I56" s="97"/>
    </row>
  </sheetData>
  <sheetProtection selectLockedCells="1" selectUnlockedCells="1"/>
  <mergeCells count="2">
    <mergeCell ref="A8:D8"/>
    <mergeCell ref="H8:I8"/>
  </mergeCells>
  <conditionalFormatting sqref="B12:C12">
    <cfRule type="expression" priority="1" dxfId="0" stopIfTrue="1">
      <formula>ISERROR(B12)</formula>
    </cfRule>
  </conditionalFormatting>
  <conditionalFormatting sqref="C14">
    <cfRule type="expression" priority="2" dxfId="0" stopIfTrue="1">
      <formula>ISERROR(C14)</formula>
    </cfRule>
  </conditionalFormatting>
  <conditionalFormatting sqref="B34:C34">
    <cfRule type="expression" priority="3" dxfId="0" stopIfTrue="1">
      <formula>ISERROR(B34)</formula>
    </cfRule>
  </conditionalFormatting>
  <conditionalFormatting sqref="B35:C35">
    <cfRule type="expression" priority="4" dxfId="0" stopIfTrue="1">
      <formula>ISERROR(B35)</formula>
    </cfRule>
  </conditionalFormatting>
  <conditionalFormatting sqref="B36:C36">
    <cfRule type="expression" priority="5" dxfId="0" stopIfTrue="1">
      <formula>ISERROR(B36)</formula>
    </cfRule>
  </conditionalFormatting>
  <conditionalFormatting sqref="B14">
    <cfRule type="expression" priority="6" dxfId="0" stopIfTrue="1">
      <formula>ISERROR(B14)</formula>
    </cfRule>
  </conditionalFormatting>
  <conditionalFormatting sqref="B33:C33">
    <cfRule type="expression" priority="7" dxfId="0" stopIfTrue="1">
      <formula>ISERROR(B33)</formula>
    </cfRule>
  </conditionalFormatting>
  <printOptions horizontalCentered="1"/>
  <pageMargins left="0.7875" right="0.19652777777777777" top="0.39375" bottom="0.7868055555555555" header="0.5118055555555555" footer="0.19652777777777777"/>
  <pageSetup horizontalDpi="300" verticalDpi="300" orientation="portrait" paperSize="9" scale="56"/>
  <headerFooter alignWithMargins="0">
    <oddFooter>&amp;LPLANILHA D - Reforma do estacionamento, paisagismo, sistema de irrigação, adequação do SPCI e demais intervenções complementares
Campus de Timóteo do CEFET-MG&amp;RPágina &amp;P de &amp;N</oddFooter>
  </headerFooter>
  <rowBreaks count="1" manualBreakCount="1">
    <brk id="49" max="255" man="1"/>
  </rowBreaks>
  <drawing r:id="rId1"/>
</worksheet>
</file>

<file path=xl/worksheets/sheet7.xml><?xml version="1.0" encoding="utf-8"?>
<worksheet xmlns="http://schemas.openxmlformats.org/spreadsheetml/2006/main" xmlns:r="http://schemas.openxmlformats.org/officeDocument/2006/relationships">
  <sheetPr>
    <tabColor indexed="21"/>
  </sheetPr>
  <dimension ref="A1:S125"/>
  <sheetViews>
    <sheetView view="pageBreakPreview" zoomScale="80" zoomScaleNormal="70" zoomScaleSheetLayoutView="80" workbookViewId="0" topLeftCell="A1">
      <selection activeCell="A9" sqref="A9"/>
    </sheetView>
  </sheetViews>
  <sheetFormatPr defaultColWidth="9.140625" defaultRowHeight="12.75"/>
  <cols>
    <col min="1" max="1" width="6.8515625" style="160" customWidth="1"/>
    <col min="2" max="2" width="59.140625" style="161" customWidth="1"/>
    <col min="3" max="3" width="24.7109375" style="162" customWidth="1"/>
    <col min="4" max="4" width="24.7109375" style="163" customWidth="1"/>
    <col min="5" max="5" width="12.7109375" style="164" customWidth="1"/>
    <col min="6" max="6" width="24.7109375" style="163" customWidth="1"/>
    <col min="7" max="7" width="12.7109375" style="164" customWidth="1"/>
    <col min="8" max="8" width="24.7109375" style="163" customWidth="1"/>
    <col min="9" max="9" width="12.7109375" style="164" customWidth="1"/>
    <col min="10" max="10" width="24.7109375" style="163" customWidth="1"/>
    <col min="11" max="11" width="12.7109375" style="164" customWidth="1"/>
    <col min="12" max="12" width="24.7109375" style="163" customWidth="1"/>
    <col min="13" max="13" width="12.7109375" style="164" customWidth="1"/>
    <col min="14" max="14" width="24.7109375" style="163" customWidth="1"/>
    <col min="15" max="15" width="12.7109375" style="164" customWidth="1"/>
    <col min="16" max="18" width="9.140625" style="161" customWidth="1"/>
    <col min="19" max="19" width="11.421875" style="161" customWidth="1"/>
    <col min="20" max="16384" width="9.140625" style="161" customWidth="1"/>
  </cols>
  <sheetData>
    <row r="1" spans="1:15" ht="12.75">
      <c r="A1" s="165"/>
      <c r="B1" s="166"/>
      <c r="C1" s="167"/>
      <c r="D1" s="168"/>
      <c r="E1" s="169"/>
      <c r="F1" s="168"/>
      <c r="G1" s="169"/>
      <c r="H1" s="168"/>
      <c r="I1" s="169"/>
      <c r="J1" s="168"/>
      <c r="K1" s="169"/>
      <c r="L1" s="168"/>
      <c r="M1" s="169"/>
      <c r="N1" s="168"/>
      <c r="O1" s="170"/>
    </row>
    <row r="2" spans="1:15" ht="12.75">
      <c r="A2" s="171"/>
      <c r="B2" s="172"/>
      <c r="C2" s="173"/>
      <c r="O2" s="174"/>
    </row>
    <row r="3" spans="1:15" ht="12.75">
      <c r="A3" s="171"/>
      <c r="B3" s="172"/>
      <c r="C3" s="173"/>
      <c r="O3" s="174"/>
    </row>
    <row r="4" spans="1:15" ht="12.75">
      <c r="A4" s="171"/>
      <c r="B4" s="172"/>
      <c r="C4" s="173"/>
      <c r="O4" s="174"/>
    </row>
    <row r="5" spans="1:15" ht="12.75">
      <c r="A5" s="171"/>
      <c r="B5" s="172"/>
      <c r="C5" s="173"/>
      <c r="O5" s="174"/>
    </row>
    <row r="6" spans="1:15" ht="12.75">
      <c r="A6" s="171"/>
      <c r="B6" s="172"/>
      <c r="C6" s="173"/>
      <c r="O6" s="174"/>
    </row>
    <row r="7" spans="1:15" ht="12.75">
      <c r="A7" s="171"/>
      <c r="B7" s="172"/>
      <c r="C7" s="173"/>
      <c r="O7" s="174"/>
    </row>
    <row r="8" spans="1:15" ht="12.75">
      <c r="A8" s="175"/>
      <c r="B8" s="176"/>
      <c r="C8" s="177"/>
      <c r="D8" s="178"/>
      <c r="E8" s="179"/>
      <c r="F8" s="178"/>
      <c r="G8" s="179"/>
      <c r="H8" s="178"/>
      <c r="I8" s="179"/>
      <c r="J8" s="178"/>
      <c r="K8" s="179"/>
      <c r="L8" s="178"/>
      <c r="M8" s="179"/>
      <c r="N8" s="178"/>
      <c r="O8" s="180"/>
    </row>
    <row r="9" spans="1:15" ht="30" customHeight="1">
      <c r="A9" s="181" t="s">
        <v>684</v>
      </c>
      <c r="B9" s="181"/>
      <c r="C9" s="181"/>
      <c r="D9" s="181"/>
      <c r="E9" s="181"/>
      <c r="F9" s="181"/>
      <c r="G9" s="181"/>
      <c r="H9" s="181"/>
      <c r="I9" s="181"/>
      <c r="J9" s="181"/>
      <c r="K9" s="181"/>
      <c r="L9" s="181"/>
      <c r="M9" s="181"/>
      <c r="N9" s="181"/>
      <c r="O9" s="181"/>
    </row>
    <row r="10" spans="1:15" ht="19.5" customHeight="1">
      <c r="A10" s="182" t="s">
        <v>38</v>
      </c>
      <c r="B10" s="182" t="s">
        <v>39</v>
      </c>
      <c r="C10" s="183" t="s">
        <v>685</v>
      </c>
      <c r="D10" s="184" t="s">
        <v>686</v>
      </c>
      <c r="E10" s="184"/>
      <c r="F10" s="184" t="s">
        <v>687</v>
      </c>
      <c r="G10" s="184"/>
      <c r="H10" s="184" t="s">
        <v>688</v>
      </c>
      <c r="I10" s="184"/>
      <c r="J10" s="184" t="s">
        <v>689</v>
      </c>
      <c r="K10" s="184"/>
      <c r="L10" s="184" t="s">
        <v>690</v>
      </c>
      <c r="M10" s="184"/>
      <c r="N10" s="184" t="s">
        <v>691</v>
      </c>
      <c r="O10" s="184"/>
    </row>
    <row r="11" spans="1:15" ht="19.5" customHeight="1">
      <c r="A11" s="182"/>
      <c r="B11" s="182"/>
      <c r="C11" s="183"/>
      <c r="D11" s="184" t="s">
        <v>1</v>
      </c>
      <c r="E11" s="185" t="s">
        <v>2</v>
      </c>
      <c r="F11" s="184" t="s">
        <v>1</v>
      </c>
      <c r="G11" s="185" t="s">
        <v>2</v>
      </c>
      <c r="H11" s="184" t="s">
        <v>1</v>
      </c>
      <c r="I11" s="185" t="s">
        <v>2</v>
      </c>
      <c r="J11" s="184" t="s">
        <v>1</v>
      </c>
      <c r="K11" s="185" t="s">
        <v>2</v>
      </c>
      <c r="L11" s="184" t="s">
        <v>1</v>
      </c>
      <c r="M11" s="185" t="s">
        <v>2</v>
      </c>
      <c r="N11" s="184" t="s">
        <v>1</v>
      </c>
      <c r="O11" s="185" t="s">
        <v>2</v>
      </c>
    </row>
    <row r="12" spans="1:15" s="187" customFormat="1" ht="12.75">
      <c r="A12" s="186"/>
      <c r="D12" s="188"/>
      <c r="E12" s="189"/>
      <c r="F12" s="188"/>
      <c r="G12" s="189"/>
      <c r="H12" s="188"/>
      <c r="I12" s="189"/>
      <c r="J12" s="188"/>
      <c r="K12" s="189"/>
      <c r="L12" s="188"/>
      <c r="M12" s="189"/>
      <c r="N12" s="188"/>
      <c r="O12" s="189"/>
    </row>
    <row r="13" spans="1:15" s="187" customFormat="1" ht="18" customHeight="1">
      <c r="A13" s="186"/>
      <c r="B13" s="190">
        <f>'PLAN.A_Serv. Prelim.'!A8</f>
        <v>0</v>
      </c>
      <c r="C13" s="190"/>
      <c r="D13" s="190"/>
      <c r="E13" s="190"/>
      <c r="F13" s="190"/>
      <c r="G13" s="190"/>
      <c r="H13" s="190"/>
      <c r="I13" s="190"/>
      <c r="J13" s="190"/>
      <c r="K13" s="190"/>
      <c r="L13" s="190"/>
      <c r="M13" s="190"/>
      <c r="N13" s="190"/>
      <c r="O13" s="190"/>
    </row>
    <row r="14" spans="1:16" s="195" customFormat="1" ht="15.75">
      <c r="A14" s="191">
        <f>'PLAN.A_Serv. Prelim.'!A10</f>
        <v>1</v>
      </c>
      <c r="B14" s="191">
        <f>'PLAN.A_Serv. Prelim.'!B10</f>
        <v>0</v>
      </c>
      <c r="C14" s="192">
        <f>SUM(C15:C18)</f>
        <v>132919.47999999998</v>
      </c>
      <c r="D14" s="192">
        <f>SUM(D15:D18)</f>
        <v>64900.137500000004</v>
      </c>
      <c r="E14" s="193">
        <f>IF(D14=0,0,D14/$C14)</f>
        <v>0.48826656183126815</v>
      </c>
      <c r="F14" s="192">
        <f>SUM(F15:F18)</f>
        <v>5843.85</v>
      </c>
      <c r="G14" s="193">
        <f>IF(F14=0,0,F14/$C14)</f>
        <v>0.043965339015771064</v>
      </c>
      <c r="H14" s="192">
        <f>SUM(H15:H18)</f>
        <v>15101.91</v>
      </c>
      <c r="I14" s="193">
        <f>IF(H14=0,0,H14/$C14)</f>
        <v>0.1136169807465392</v>
      </c>
      <c r="J14" s="192">
        <f>SUM(J15:J18)</f>
        <v>12006.92</v>
      </c>
      <c r="K14" s="193">
        <f>IF(J14=0,0,J14/$C14)</f>
        <v>0.09033228237125214</v>
      </c>
      <c r="L14" s="192">
        <f>SUM(L15:L18)</f>
        <v>26308.48</v>
      </c>
      <c r="M14" s="193">
        <f>IF(L14=0,0,L14/$C14)</f>
        <v>0.19792794855953397</v>
      </c>
      <c r="N14" s="192">
        <f>SUM(N15:N18)</f>
        <v>8758.182499999995</v>
      </c>
      <c r="O14" s="193">
        <f>IF(N14=0,0,N14/$C14)</f>
        <v>0.0658908874756356</v>
      </c>
      <c r="P14" s="194">
        <f aca="true" t="shared" si="0" ref="P14:P18">IF(C14=(D14+F14+H14+J14+L14+N14)," ","ERRO NO SOMATÓRIO")</f>
        <v>0</v>
      </c>
    </row>
    <row r="15" spans="1:16" s="187" customFormat="1" ht="15.75">
      <c r="A15" s="196">
        <f>'PLAN.A_Serv. Prelim.'!A11</f>
        <v>0</v>
      </c>
      <c r="B15" s="197">
        <f>'PLAN.A_Serv. Prelim.'!B11</f>
        <v>0</v>
      </c>
      <c r="C15" s="198">
        <f>'PLAN.A_Serv. Prelim.'!F11</f>
        <v>27869.550000000003</v>
      </c>
      <c r="D15" s="199">
        <f>'PLAN.A_Serv. Prelim.'!F12*0.75+'PLAN.A_Serv. Prelim.'!F13+'PLAN.A_Serv. Prelim.'!E14+'PLAN.A_Serv. Prelim.'!E15+'PLAN.A_Serv. Prelim.'!E16+'PLAN.A_Serv. Prelim.'!E17</f>
        <v>8761.847500000002</v>
      </c>
      <c r="E15" s="200">
        <f aca="true" t="shared" si="1" ref="E15:E18">IF(D15&gt;0,D15/$C15," ")</f>
        <v>0.314387835469177</v>
      </c>
      <c r="F15" s="199">
        <f>'PLAN.A_Serv. Prelim.'!E14+'PLAN.A_Serv. Prelim.'!E15+'PLAN.A_Serv. Prelim.'!E16+'PLAN.A_Serv. Prelim.'!E17</f>
        <v>3604.69</v>
      </c>
      <c r="G15" s="200">
        <f aca="true" t="shared" si="2" ref="G15:G18">IF(F15&gt;0,F15/$C15," ")</f>
        <v>0.12934152148132996</v>
      </c>
      <c r="H15" s="199">
        <f>'PLAN.A_Serv. Prelim.'!E14+'PLAN.A_Serv. Prelim.'!E15+'PLAN.A_Serv. Prelim.'!E16+'PLAN.A_Serv. Prelim.'!E17</f>
        <v>3604.69</v>
      </c>
      <c r="I15" s="200">
        <f aca="true" t="shared" si="3" ref="I15:I18">IF(H15&gt;0,H15/$C15," ")</f>
        <v>0.12934152148132996</v>
      </c>
      <c r="J15" s="199">
        <f>'PLAN.A_Serv. Prelim.'!E14+'PLAN.A_Serv. Prelim.'!E15+'PLAN.A_Serv. Prelim.'!E16+'PLAN.A_Serv. Prelim.'!E17</f>
        <v>3604.69</v>
      </c>
      <c r="K15" s="200">
        <f aca="true" t="shared" si="4" ref="K15:K18">IF(J15&gt;0,J15/$C15," ")</f>
        <v>0.12934152148132996</v>
      </c>
      <c r="L15" s="199">
        <f>'PLAN.A_Serv. Prelim.'!E14+'PLAN.A_Serv. Prelim.'!E15+'PLAN.A_Serv. Prelim.'!E16+'PLAN.A_Serv. Prelim.'!E17</f>
        <v>3604.69</v>
      </c>
      <c r="M15" s="200">
        <f aca="true" t="shared" si="5" ref="M15:M18">IF(L15&gt;0,L15/$C15," ")</f>
        <v>0.12934152148132996</v>
      </c>
      <c r="N15" s="199">
        <f>'PLAN.A_Serv. Prelim.'!F12*0.25+'PLAN.A_Serv. Prelim.'!E14+'PLAN.A_Serv. Prelim.'!E15+'PLAN.A_Serv. Prelim.'!E16+'PLAN.A_Serv. Prelim.'!E17</f>
        <v>4688.9425</v>
      </c>
      <c r="O15" s="200">
        <f aca="true" t="shared" si="6" ref="O15:O18">IF(N15&gt;0,N15/$C15," ")</f>
        <v>0.1682460786055031</v>
      </c>
      <c r="P15" s="194">
        <f t="shared" si="0"/>
        <v>0</v>
      </c>
    </row>
    <row r="16" spans="1:16" s="187" customFormat="1" ht="15.75">
      <c r="A16" s="196">
        <f>'PLAN.A_Serv. Prelim.'!A18</f>
        <v>0</v>
      </c>
      <c r="B16" s="197">
        <f>'PLAN.A_Serv. Prelim.'!B18</f>
        <v>0</v>
      </c>
      <c r="C16" s="198">
        <f>'PLAN.A_Serv. Prelim.'!F18</f>
        <v>41571.33</v>
      </c>
      <c r="D16" s="199">
        <f>'PLAN.A_Serv. Prelim.'!F18</f>
        <v>41571.33</v>
      </c>
      <c r="E16" s="200">
        <f t="shared" si="1"/>
        <v>1</v>
      </c>
      <c r="F16" s="199"/>
      <c r="G16" s="200">
        <f t="shared" si="2"/>
        <v>0</v>
      </c>
      <c r="H16" s="199"/>
      <c r="I16" s="200">
        <f t="shared" si="3"/>
        <v>0</v>
      </c>
      <c r="J16" s="199"/>
      <c r="K16" s="200">
        <f t="shared" si="4"/>
        <v>0</v>
      </c>
      <c r="L16" s="199"/>
      <c r="M16" s="200">
        <f t="shared" si="5"/>
        <v>0</v>
      </c>
      <c r="N16" s="199"/>
      <c r="O16" s="200">
        <f t="shared" si="6"/>
        <v>0</v>
      </c>
      <c r="P16" s="194">
        <f t="shared" si="0"/>
        <v>0</v>
      </c>
    </row>
    <row r="17" spans="1:16" s="187" customFormat="1" ht="15.75">
      <c r="A17" s="196">
        <f>'PLAN.A_Serv. Prelim.'!A24</f>
        <v>0</v>
      </c>
      <c r="B17" s="197">
        <f>'PLAN.A_Serv. Prelim.'!B24</f>
        <v>0</v>
      </c>
      <c r="C17" s="198">
        <f>'PLAN.A_Serv. Prelim.'!F24</f>
        <v>53825.95</v>
      </c>
      <c r="D17" s="199">
        <f>ROUND(9.13%*$C17,2)</f>
        <v>4914.31</v>
      </c>
      <c r="E17" s="200">
        <f t="shared" si="1"/>
        <v>0.09130001421247559</v>
      </c>
      <c r="F17" s="199">
        <f>ROUND(4.16%*$C17,2)</f>
        <v>2239.16</v>
      </c>
      <c r="G17" s="200">
        <f t="shared" si="2"/>
        <v>0.041600008917631735</v>
      </c>
      <c r="H17" s="199">
        <f>ROUND(21.36%*$C17,2)</f>
        <v>11497.22</v>
      </c>
      <c r="I17" s="200">
        <f t="shared" si="3"/>
        <v>0.2135999457510736</v>
      </c>
      <c r="J17" s="199">
        <f>ROUND(15.61%*$C17,2)</f>
        <v>8402.23</v>
      </c>
      <c r="K17" s="200">
        <f t="shared" si="4"/>
        <v>0.15609998523017243</v>
      </c>
      <c r="L17" s="199">
        <f>ROUND(42.18%*$C17,2)</f>
        <v>22703.79</v>
      </c>
      <c r="M17" s="200">
        <f t="shared" si="5"/>
        <v>0.4218000797013337</v>
      </c>
      <c r="N17" s="199">
        <f>C17-D17-F17-H17-J17-L17</f>
        <v>4069.2399999999943</v>
      </c>
      <c r="O17" s="200">
        <f t="shared" si="6"/>
        <v>0.07559996618731289</v>
      </c>
      <c r="P17" s="194">
        <f t="shared" si="0"/>
        <v>0</v>
      </c>
    </row>
    <row r="18" spans="1:16" s="187" customFormat="1" ht="15.75">
      <c r="A18" s="196">
        <f>'PLAN.A_Serv. Prelim.'!A28</f>
        <v>0</v>
      </c>
      <c r="B18" s="197">
        <f>'PLAN.A_Serv. Prelim.'!B28</f>
        <v>0</v>
      </c>
      <c r="C18" s="198">
        <f>'PLAN.A_Serv. Prelim.'!F28</f>
        <v>9652.65</v>
      </c>
      <c r="D18" s="199">
        <f>'PLAN.A_Serv. Prelim.'!F28</f>
        <v>9652.65</v>
      </c>
      <c r="E18" s="200">
        <f t="shared" si="1"/>
        <v>1</v>
      </c>
      <c r="F18" s="199"/>
      <c r="G18" s="200">
        <f t="shared" si="2"/>
        <v>0</v>
      </c>
      <c r="H18" s="199"/>
      <c r="I18" s="200">
        <f t="shared" si="3"/>
        <v>0</v>
      </c>
      <c r="J18" s="199"/>
      <c r="K18" s="200">
        <f t="shared" si="4"/>
        <v>0</v>
      </c>
      <c r="L18" s="199"/>
      <c r="M18" s="200">
        <f t="shared" si="5"/>
        <v>0</v>
      </c>
      <c r="N18" s="199"/>
      <c r="O18" s="200">
        <f t="shared" si="6"/>
        <v>0</v>
      </c>
      <c r="P18" s="194">
        <f t="shared" si="0"/>
        <v>0</v>
      </c>
    </row>
    <row r="19" spans="1:15" s="187" customFormat="1" ht="12.75">
      <c r="A19" s="186"/>
      <c r="C19" s="201"/>
      <c r="D19" s="188"/>
      <c r="E19" s="189"/>
      <c r="F19" s="188"/>
      <c r="G19" s="189"/>
      <c r="H19" s="188"/>
      <c r="I19" s="189"/>
      <c r="J19" s="188"/>
      <c r="K19" s="189"/>
      <c r="L19" s="188"/>
      <c r="M19" s="189"/>
      <c r="N19" s="188"/>
      <c r="O19" s="189"/>
    </row>
    <row r="20" spans="1:16" s="187" customFormat="1" ht="15.75">
      <c r="A20" s="186"/>
      <c r="B20" s="202" t="s">
        <v>692</v>
      </c>
      <c r="C20" s="203">
        <f>C14</f>
        <v>132919.47999999998</v>
      </c>
      <c r="D20" s="203">
        <f>D14</f>
        <v>64900.137500000004</v>
      </c>
      <c r="E20" s="193">
        <f>IF(D20=0,0,D20/$C20)</f>
        <v>0.48826656183126815</v>
      </c>
      <c r="F20" s="203">
        <f>F14</f>
        <v>5843.85</v>
      </c>
      <c r="G20" s="193">
        <f>IF(F20=0,0,F20/$C20)</f>
        <v>0.043965339015771064</v>
      </c>
      <c r="H20" s="203">
        <f>H14</f>
        <v>15101.91</v>
      </c>
      <c r="I20" s="193">
        <f>IF(H20=0,0,H20/$C20)</f>
        <v>0.1136169807465392</v>
      </c>
      <c r="J20" s="203">
        <f>J14</f>
        <v>12006.92</v>
      </c>
      <c r="K20" s="193">
        <f>IF(J20=0,0,J20/$C20)</f>
        <v>0.09033228237125214</v>
      </c>
      <c r="L20" s="203">
        <f>L14</f>
        <v>26308.48</v>
      </c>
      <c r="M20" s="193">
        <f>IF(L20=0,0,L20/$C20)</f>
        <v>0.19792794855953397</v>
      </c>
      <c r="N20" s="203">
        <f>N14</f>
        <v>8758.182499999995</v>
      </c>
      <c r="O20" s="193">
        <f>IF(N20=0,0,N20/$C20)</f>
        <v>0.0658908874756356</v>
      </c>
      <c r="P20" s="194">
        <f>IF(C20=(D20+F20+H20+J20+L20+N20)," ","ERRO NO SOMATÓRIO")</f>
        <v>0</v>
      </c>
    </row>
    <row r="21" ht="12.75">
      <c r="C21" s="204">
        <f>IF(C20='PLAN.A_Serv. Prelim.'!F35," ","ERRO NO SOMATÓRIO")</f>
        <v>0</v>
      </c>
    </row>
    <row r="22" spans="1:15" s="187" customFormat="1" ht="18">
      <c r="A22" s="186"/>
      <c r="B22" s="205"/>
      <c r="D22" s="188"/>
      <c r="E22" s="189"/>
      <c r="F22" s="188"/>
      <c r="G22" s="189"/>
      <c r="H22" s="188"/>
      <c r="I22" s="189"/>
      <c r="J22" s="188"/>
      <c r="K22" s="189"/>
      <c r="L22" s="188"/>
      <c r="M22" s="189"/>
      <c r="N22" s="188"/>
      <c r="O22" s="189"/>
    </row>
    <row r="23" spans="1:15" s="187" customFormat="1" ht="18">
      <c r="A23" s="186"/>
      <c r="B23" s="190">
        <f>'PLAN.B_Estacionamento'!A8</f>
        <v>0</v>
      </c>
      <c r="C23" s="190"/>
      <c r="D23" s="190"/>
      <c r="E23" s="190"/>
      <c r="F23" s="190"/>
      <c r="G23" s="190"/>
      <c r="H23" s="190"/>
      <c r="I23" s="190"/>
      <c r="J23" s="190"/>
      <c r="K23" s="190"/>
      <c r="L23" s="190"/>
      <c r="M23" s="190"/>
      <c r="N23" s="190"/>
      <c r="O23" s="190"/>
    </row>
    <row r="24" spans="1:16" s="195" customFormat="1" ht="47.25">
      <c r="A24" s="191">
        <f>'PLAN.B_Estacionamento'!A10</f>
        <v>1</v>
      </c>
      <c r="B24" s="206">
        <f>'PLAN.B_Estacionamento'!B10</f>
        <v>0</v>
      </c>
      <c r="C24" s="192">
        <f>SUM(C25:C27)</f>
        <v>49166.78</v>
      </c>
      <c r="D24" s="192">
        <f>SUM(D25:D27)</f>
        <v>34441.49</v>
      </c>
      <c r="E24" s="193">
        <f>IF(D24=0,0,D24/$C24)</f>
        <v>0.700503266636538</v>
      </c>
      <c r="F24" s="192">
        <f>SUM(F25:F27)</f>
        <v>14725.29</v>
      </c>
      <c r="G24" s="193">
        <f>IF(F24=0,0,F24/$C24)</f>
        <v>0.2994967333634621</v>
      </c>
      <c r="H24" s="192">
        <f>SUM(H25:H27)</f>
        <v>0</v>
      </c>
      <c r="I24" s="193">
        <f>IF(H24=0,0,H24/$C24)</f>
        <v>0</v>
      </c>
      <c r="J24" s="192">
        <f>SUM(J25:J27)</f>
        <v>0</v>
      </c>
      <c r="K24" s="193">
        <f>IF(J24=0,0,J24/$C24)</f>
        <v>0</v>
      </c>
      <c r="L24" s="192">
        <f>SUM(L25:L27)</f>
        <v>0</v>
      </c>
      <c r="M24" s="193">
        <f>IF(L24=0,0,L24/$C24)</f>
        <v>0</v>
      </c>
      <c r="N24" s="192">
        <f>SUM(N25:N27)</f>
        <v>0</v>
      </c>
      <c r="O24" s="193">
        <f>IF(N24=0,0,N24/$C24)</f>
        <v>0</v>
      </c>
      <c r="P24" s="194">
        <f aca="true" t="shared" si="7" ref="P24:P27">IF(C24=(D24+F24+H24+J24+L24+N24)," ","ERRO NO SOMATÓRIO")</f>
        <v>0</v>
      </c>
    </row>
    <row r="25" spans="1:16" s="187" customFormat="1" ht="15.75">
      <c r="A25" s="196">
        <f>'PLAN.B_Estacionamento'!A11</f>
        <v>0</v>
      </c>
      <c r="B25" s="197">
        <f>'PLAN.B_Estacionamento'!B11</f>
        <v>0</v>
      </c>
      <c r="C25" s="198">
        <f>'PLAN.B_Estacionamento'!F11</f>
        <v>33294.11</v>
      </c>
      <c r="D25" s="199">
        <f>'PLAN.B_Estacionamento'!F11</f>
        <v>33294.11</v>
      </c>
      <c r="E25" s="200">
        <f aca="true" t="shared" si="8" ref="E25:E27">IF(D25&gt;0,D25/$C25," ")</f>
        <v>1</v>
      </c>
      <c r="F25" s="199"/>
      <c r="G25" s="200">
        <f aca="true" t="shared" si="9" ref="G25:G27">IF(F25&gt;0,F25/$C25," ")</f>
        <v>0</v>
      </c>
      <c r="H25" s="199"/>
      <c r="I25" s="200">
        <f aca="true" t="shared" si="10" ref="I25:I27">IF(H25&gt;0,H25/$C25," ")</f>
        <v>0</v>
      </c>
      <c r="J25" s="199"/>
      <c r="K25" s="200">
        <f aca="true" t="shared" si="11" ref="K25:K27">IF(J25&gt;0,J25/$C25," ")</f>
        <v>0</v>
      </c>
      <c r="L25" s="199"/>
      <c r="M25" s="200">
        <f aca="true" t="shared" si="12" ref="M25:M27">IF(L25&gt;0,L25/$C25," ")</f>
        <v>0</v>
      </c>
      <c r="N25" s="199"/>
      <c r="O25" s="200">
        <f aca="true" t="shared" si="13" ref="O25:O27">IF(N25&gt;0,N25/$C25," ")</f>
        <v>0</v>
      </c>
      <c r="P25" s="194">
        <f t="shared" si="7"/>
        <v>0</v>
      </c>
    </row>
    <row r="26" spans="1:16" s="187" customFormat="1" ht="15.75">
      <c r="A26" s="196">
        <f>'PLAN.B_Estacionamento'!A18</f>
        <v>0</v>
      </c>
      <c r="B26" s="197">
        <f>'PLAN.B_Estacionamento'!B18</f>
        <v>0</v>
      </c>
      <c r="C26" s="198">
        <f>'PLAN.B_Estacionamento'!F18</f>
        <v>1147.38</v>
      </c>
      <c r="D26" s="199">
        <f>'PLAN.B_Estacionamento'!F18</f>
        <v>1147.38</v>
      </c>
      <c r="E26" s="200">
        <f t="shared" si="8"/>
        <v>1</v>
      </c>
      <c r="F26" s="199"/>
      <c r="G26" s="200">
        <f t="shared" si="9"/>
        <v>0</v>
      </c>
      <c r="H26" s="199"/>
      <c r="I26" s="200">
        <f t="shared" si="10"/>
        <v>0</v>
      </c>
      <c r="J26" s="199"/>
      <c r="K26" s="200">
        <f t="shared" si="11"/>
        <v>0</v>
      </c>
      <c r="L26" s="199"/>
      <c r="M26" s="200">
        <f t="shared" si="12"/>
        <v>0</v>
      </c>
      <c r="N26" s="199"/>
      <c r="O26" s="200">
        <f t="shared" si="13"/>
        <v>0</v>
      </c>
      <c r="P26" s="194">
        <f t="shared" si="7"/>
        <v>0</v>
      </c>
    </row>
    <row r="27" spans="1:16" s="187" customFormat="1" ht="15.75">
      <c r="A27" s="196">
        <f>'PLAN.B_Estacionamento'!A20</f>
        <v>0</v>
      </c>
      <c r="B27" s="197">
        <f>'PLAN.B_Estacionamento'!B20</f>
        <v>0</v>
      </c>
      <c r="C27" s="198">
        <f>'PLAN.B_Estacionamento'!F20</f>
        <v>14725.29</v>
      </c>
      <c r="D27" s="199"/>
      <c r="E27" s="200">
        <f t="shared" si="8"/>
        <v>0</v>
      </c>
      <c r="F27" s="199">
        <f>'PLAN.B_Estacionamento'!F20</f>
        <v>14725.29</v>
      </c>
      <c r="G27" s="200">
        <f t="shared" si="9"/>
        <v>1</v>
      </c>
      <c r="H27" s="199"/>
      <c r="I27" s="200">
        <f t="shared" si="10"/>
        <v>0</v>
      </c>
      <c r="J27" s="199"/>
      <c r="K27" s="200">
        <f t="shared" si="11"/>
        <v>0</v>
      </c>
      <c r="L27" s="199"/>
      <c r="M27" s="200">
        <f t="shared" si="12"/>
        <v>0</v>
      </c>
      <c r="N27" s="199"/>
      <c r="O27" s="200">
        <f t="shared" si="13"/>
        <v>0</v>
      </c>
      <c r="P27" s="194">
        <f t="shared" si="7"/>
        <v>0</v>
      </c>
    </row>
    <row r="28" spans="1:15" s="187" customFormat="1" ht="12.75">
      <c r="A28" s="186"/>
      <c r="C28" s="201"/>
      <c r="D28" s="188"/>
      <c r="E28" s="189"/>
      <c r="F28" s="188"/>
      <c r="G28" s="189"/>
      <c r="H28" s="188"/>
      <c r="I28" s="189"/>
      <c r="J28" s="188"/>
      <c r="K28" s="189"/>
      <c r="L28" s="188"/>
      <c r="M28" s="189"/>
      <c r="N28" s="188"/>
      <c r="O28" s="189"/>
    </row>
    <row r="29" spans="1:16" s="195" customFormat="1" ht="15.75">
      <c r="A29" s="191">
        <f>'PLAN.B_Estacionamento'!A26</f>
        <v>2</v>
      </c>
      <c r="B29" s="191">
        <f>'PLAN.B_Estacionamento'!B26</f>
        <v>0</v>
      </c>
      <c r="C29" s="192">
        <f>SUM(C30:C36)</f>
        <v>654587.07</v>
      </c>
      <c r="D29" s="192">
        <f>SUM(D30:D36)</f>
        <v>0</v>
      </c>
      <c r="E29" s="193">
        <f>IF(D29=0,0,D29/$C29)</f>
        <v>0</v>
      </c>
      <c r="F29" s="192">
        <f>SUM(F30:F36)</f>
        <v>10887.46</v>
      </c>
      <c r="G29" s="193">
        <f>IF(F29=0,0,F29/$C29)</f>
        <v>0.016632561960015495</v>
      </c>
      <c r="H29" s="192">
        <f>SUM(H30:H36)</f>
        <v>171054.63</v>
      </c>
      <c r="I29" s="193">
        <f>IF(H29=0,0,H29/$C29)</f>
        <v>0.26131684819255596</v>
      </c>
      <c r="J29" s="192">
        <f>SUM(J30:J36)</f>
        <v>143949.68</v>
      </c>
      <c r="K29" s="193">
        <f>IF(J29=0,0,J29/$C29)</f>
        <v>0.2199091405823216</v>
      </c>
      <c r="L29" s="192">
        <f>SUM(L30:L36)</f>
        <v>294821.89</v>
      </c>
      <c r="M29" s="193">
        <f>IF(L29=0,0,L29/$C29)</f>
        <v>0.4503936962885626</v>
      </c>
      <c r="N29" s="192">
        <f>SUM(N30:N36)</f>
        <v>33873.41</v>
      </c>
      <c r="O29" s="193">
        <f>IF(N29=0,0,N29/$C29)</f>
        <v>0.051747752976544444</v>
      </c>
      <c r="P29" s="194">
        <f aca="true" t="shared" si="14" ref="P29:P36">IF(C29=(D29+F29+H29+J29+L29+N29)," ","ERRO NO SOMATÓRIO")</f>
        <v>0</v>
      </c>
    </row>
    <row r="30" spans="1:16" s="187" customFormat="1" ht="15.75">
      <c r="A30" s="196">
        <f>'PLAN.B_Estacionamento'!A27</f>
        <v>0</v>
      </c>
      <c r="B30" s="197">
        <f>'PLAN.B_Estacionamento'!B27</f>
        <v>0</v>
      </c>
      <c r="C30" s="198">
        <f>'PLAN.B_Estacionamento'!F27</f>
        <v>293172.35</v>
      </c>
      <c r="D30" s="199"/>
      <c r="E30" s="200">
        <f aca="true" t="shared" si="15" ref="E30:E36">IF(D30&gt;0,D30/$C30," ")</f>
        <v>0</v>
      </c>
      <c r="F30" s="199"/>
      <c r="G30" s="200">
        <f aca="true" t="shared" si="16" ref="G30:G36">IF(F30&gt;0,F30/$C30," ")</f>
        <v>0</v>
      </c>
      <c r="H30" s="199">
        <f>'PLAN.B_Estacionamento'!F28+'PLAN.B_Estacionamento'!F29</f>
        <v>70709.92</v>
      </c>
      <c r="I30" s="200">
        <f aca="true" t="shared" si="17" ref="I30:I36">IF(H30&gt;0,H30/$C30," ")</f>
        <v>0.24118891157368696</v>
      </c>
      <c r="J30" s="199">
        <f>'PLAN.B_Estacionamento'!F30</f>
        <v>61724.7</v>
      </c>
      <c r="K30" s="200">
        <f aca="true" t="shared" si="18" ref="K30:K36">IF(J30&gt;0,J30/$C30," ")</f>
        <v>0.21054065978595868</v>
      </c>
      <c r="L30" s="199">
        <f>'PLAN.B_Estacionamento'!F31</f>
        <v>160737.73</v>
      </c>
      <c r="M30" s="200">
        <f aca="true" t="shared" si="19" ref="M30:M36">IF(L30&gt;0,L30/$C30," ")</f>
        <v>0.5482704286403545</v>
      </c>
      <c r="N30" s="199"/>
      <c r="O30" s="200">
        <f aca="true" t="shared" si="20" ref="O30:O36">IF(N30&gt;0,N30/$C30," ")</f>
        <v>0</v>
      </c>
      <c r="P30" s="194">
        <f t="shared" si="14"/>
        <v>0</v>
      </c>
    </row>
    <row r="31" spans="1:19" s="187" customFormat="1" ht="15.75">
      <c r="A31" s="196">
        <f>'PLAN.B_Estacionamento'!A32</f>
        <v>0</v>
      </c>
      <c r="B31" s="197">
        <f>'PLAN.B_Estacionamento'!B32</f>
        <v>0</v>
      </c>
      <c r="C31" s="198">
        <f>'PLAN.B_Estacionamento'!F32</f>
        <v>245750.46</v>
      </c>
      <c r="D31" s="207"/>
      <c r="E31" s="200">
        <f t="shared" si="15"/>
        <v>0</v>
      </c>
      <c r="F31" s="207"/>
      <c r="G31" s="200">
        <f t="shared" si="16"/>
        <v>0</v>
      </c>
      <c r="H31" s="207">
        <f>'PLAN.B_Estacionamento'!F34+'PLAN.B_Estacionamento'!F35+'PLAN.B_Estacionamento'!F36+'PLAN.B_Estacionamento'!F45+'PLAN.B_Estacionamento'!F46+'PLAN.B_Estacionamento'!F47+'PLAN.B_Estacionamento'!F48+'PLAN.B_Estacionamento'!F49+'PLAN.B_Estacionamento'!F50+'PLAN.B_Estacionamento'!F51+'PLAN.B_Estacionamento'!F52</f>
        <v>100344.71</v>
      </c>
      <c r="I31" s="200">
        <f t="shared" si="17"/>
        <v>0.40831952054128406</v>
      </c>
      <c r="J31" s="207">
        <f>'PLAN.B_Estacionamento'!F37+'PLAN.B_Estacionamento'!F38+'PLAN.B_Estacionamento'!F39+'PLAN.B_Estacionamento'!F43</f>
        <v>65942</v>
      </c>
      <c r="K31" s="200">
        <f t="shared" si="18"/>
        <v>0.2683291009913064</v>
      </c>
      <c r="L31" s="207">
        <f>'PLAN.B_Estacionamento'!F40+'PLAN.B_Estacionamento'!F41+'PLAN.B_Estacionamento'!F42+'PLAN.B_Estacionamento'!F54+'PLAN.B_Estacionamento'!F55+'PLAN.B_Estacionamento'!F56+'PLAN.B_Estacionamento'!F57+'PLAN.B_Estacionamento'!F58+'PLAN.B_Estacionamento'!F59</f>
        <v>79463.74999999999</v>
      </c>
      <c r="M31" s="200">
        <f t="shared" si="19"/>
        <v>0.3233513784674095</v>
      </c>
      <c r="N31" s="207"/>
      <c r="O31" s="200">
        <f t="shared" si="20"/>
        <v>0</v>
      </c>
      <c r="P31" s="194">
        <f t="shared" si="14"/>
        <v>0</v>
      </c>
      <c r="S31" s="208"/>
    </row>
    <row r="32" spans="1:16" s="187" customFormat="1" ht="15.75">
      <c r="A32" s="196">
        <f>'PLAN.B_Estacionamento'!A60</f>
        <v>0</v>
      </c>
      <c r="B32" s="197">
        <f>'PLAN.B_Estacionamento'!B60</f>
        <v>0</v>
      </c>
      <c r="C32" s="198">
        <f>'PLAN.B_Estacionamento'!F60</f>
        <v>60102.11</v>
      </c>
      <c r="D32" s="207"/>
      <c r="E32" s="200">
        <f t="shared" si="15"/>
        <v>0</v>
      </c>
      <c r="F32" s="207"/>
      <c r="G32" s="200">
        <f t="shared" si="16"/>
        <v>0</v>
      </c>
      <c r="H32" s="207"/>
      <c r="I32" s="200">
        <f t="shared" si="17"/>
        <v>0</v>
      </c>
      <c r="J32" s="207">
        <f>'PLAN.B_Estacionamento'!F61+'PLAN.B_Estacionamento'!F62</f>
        <v>11641.36</v>
      </c>
      <c r="K32" s="200">
        <f t="shared" si="18"/>
        <v>0.19369303340598193</v>
      </c>
      <c r="L32" s="207">
        <f>'PLAN.B_Estacionamento'!F63</f>
        <v>48460.75</v>
      </c>
      <c r="M32" s="200">
        <f t="shared" si="19"/>
        <v>0.8063069665940181</v>
      </c>
      <c r="N32" s="207"/>
      <c r="O32" s="200">
        <f t="shared" si="20"/>
        <v>0</v>
      </c>
      <c r="P32" s="194">
        <f t="shared" si="14"/>
        <v>0</v>
      </c>
    </row>
    <row r="33" spans="1:16" s="187" customFormat="1" ht="15.75">
      <c r="A33" s="196">
        <f>'PLAN.B_Estacionamento'!A64</f>
        <v>0</v>
      </c>
      <c r="B33" s="197">
        <f>'PLAN.B_Estacionamento'!B64</f>
        <v>0</v>
      </c>
      <c r="C33" s="198">
        <f>'PLAN.B_Estacionamento'!F64</f>
        <v>7747.16</v>
      </c>
      <c r="D33" s="207"/>
      <c r="E33" s="200">
        <f t="shared" si="15"/>
        <v>0</v>
      </c>
      <c r="F33" s="207"/>
      <c r="G33" s="200">
        <f t="shared" si="16"/>
        <v>0</v>
      </c>
      <c r="H33" s="207"/>
      <c r="I33" s="200">
        <f t="shared" si="17"/>
        <v>0</v>
      </c>
      <c r="J33" s="207">
        <f>'PLAN.B_Estacionamento'!F66+'PLAN.B_Estacionamento'!F67+'PLAN.B_Estacionamento'!F68+'PLAN.B_Estacionamento'!F69+'PLAN.B_Estacionamento'!F70+'PLAN.B_Estacionamento'!F71</f>
        <v>4641.62</v>
      </c>
      <c r="K33" s="200">
        <f t="shared" si="18"/>
        <v>0.5991382648609297</v>
      </c>
      <c r="L33" s="207">
        <f>'PLAN.B_Estacionamento'!F65</f>
        <v>3105.54</v>
      </c>
      <c r="M33" s="200">
        <f t="shared" si="19"/>
        <v>0.4008617351390703</v>
      </c>
      <c r="N33" s="207"/>
      <c r="O33" s="200">
        <f t="shared" si="20"/>
        <v>0</v>
      </c>
      <c r="P33" s="194">
        <f t="shared" si="14"/>
        <v>0</v>
      </c>
    </row>
    <row r="34" spans="1:16" s="187" customFormat="1" ht="15.75">
      <c r="A34" s="196">
        <f>'PLAN.B_Estacionamento'!A72</f>
        <v>0</v>
      </c>
      <c r="B34" s="197">
        <f>'PLAN.B_Estacionamento'!B72</f>
        <v>0</v>
      </c>
      <c r="C34" s="198">
        <f>'PLAN.B_Estacionamento'!F72</f>
        <v>30584.64</v>
      </c>
      <c r="D34" s="207"/>
      <c r="E34" s="200">
        <f t="shared" si="15"/>
        <v>0</v>
      </c>
      <c r="F34" s="207">
        <f>'PLAN.B_Estacionamento'!F74+'PLAN.B_Estacionamento'!F75+'PLAN.B_Estacionamento'!F76+'PLAN.B_Estacionamento'!F77+'PLAN.B_Estacionamento'!F78</f>
        <v>10887.46</v>
      </c>
      <c r="G34" s="200">
        <f t="shared" si="16"/>
        <v>0.3559780334180817</v>
      </c>
      <c r="H34" s="207"/>
      <c r="I34" s="200">
        <f t="shared" si="17"/>
        <v>0</v>
      </c>
      <c r="J34" s="207"/>
      <c r="K34" s="200">
        <f t="shared" si="18"/>
        <v>0</v>
      </c>
      <c r="L34" s="207"/>
      <c r="M34" s="200">
        <f t="shared" si="19"/>
        <v>0</v>
      </c>
      <c r="N34" s="207">
        <f>'PLAN.B_Estacionamento'!F73</f>
        <v>19697.18</v>
      </c>
      <c r="O34" s="200">
        <f t="shared" si="20"/>
        <v>0.6440219665819182</v>
      </c>
      <c r="P34" s="194">
        <f t="shared" si="14"/>
        <v>0</v>
      </c>
    </row>
    <row r="35" spans="1:16" s="187" customFormat="1" ht="15.75">
      <c r="A35" s="196">
        <f>'PLAN.B_Estacionamento'!A79</f>
        <v>0</v>
      </c>
      <c r="B35" s="197">
        <f>'PLAN.B_Estacionamento'!B79</f>
        <v>0</v>
      </c>
      <c r="C35" s="198">
        <f>'PLAN.B_Estacionamento'!F79</f>
        <v>11916.41</v>
      </c>
      <c r="D35" s="207"/>
      <c r="E35" s="200">
        <f t="shared" si="15"/>
        <v>0</v>
      </c>
      <c r="F35" s="207"/>
      <c r="G35" s="200">
        <f t="shared" si="16"/>
        <v>0</v>
      </c>
      <c r="H35" s="207"/>
      <c r="I35" s="200">
        <f t="shared" si="17"/>
        <v>0</v>
      </c>
      <c r="J35" s="207"/>
      <c r="K35" s="200">
        <f t="shared" si="18"/>
        <v>0</v>
      </c>
      <c r="L35" s="207"/>
      <c r="M35" s="200">
        <f t="shared" si="19"/>
        <v>0</v>
      </c>
      <c r="N35" s="207">
        <f>'PLAN.B_Estacionamento'!F79</f>
        <v>11916.41</v>
      </c>
      <c r="O35" s="200">
        <f t="shared" si="20"/>
        <v>1</v>
      </c>
      <c r="P35" s="194">
        <f t="shared" si="14"/>
        <v>0</v>
      </c>
    </row>
    <row r="36" spans="1:16" s="187" customFormat="1" ht="15.75">
      <c r="A36" s="196">
        <f>'PLAN.B_Estacionamento'!A83</f>
        <v>0</v>
      </c>
      <c r="B36" s="197">
        <f>'PLAN.B_Estacionamento'!B83</f>
        <v>0</v>
      </c>
      <c r="C36" s="198">
        <f>'PLAN.B_Estacionamento'!F83</f>
        <v>5313.9400000000005</v>
      </c>
      <c r="D36" s="207"/>
      <c r="E36" s="200">
        <f t="shared" si="15"/>
        <v>0</v>
      </c>
      <c r="F36" s="207"/>
      <c r="G36" s="200">
        <f t="shared" si="16"/>
        <v>0</v>
      </c>
      <c r="H36" s="207"/>
      <c r="I36" s="200">
        <f t="shared" si="17"/>
        <v>0</v>
      </c>
      <c r="J36" s="207"/>
      <c r="K36" s="200">
        <f t="shared" si="18"/>
        <v>0</v>
      </c>
      <c r="L36" s="207">
        <f>'PLAN.B_Estacionamento'!F85+'PLAN.B_Estacionamento'!F86</f>
        <v>3054.12</v>
      </c>
      <c r="M36" s="200">
        <f t="shared" si="19"/>
        <v>0.5747373888301335</v>
      </c>
      <c r="N36" s="207">
        <f>'PLAN.B_Estacionamento'!F88+'PLAN.B_Estacionamento'!F89</f>
        <v>2259.82</v>
      </c>
      <c r="O36" s="200">
        <f t="shared" si="20"/>
        <v>0.4252626111698664</v>
      </c>
      <c r="P36" s="194">
        <f t="shared" si="14"/>
        <v>0</v>
      </c>
    </row>
    <row r="37" spans="1:15" s="187" customFormat="1" ht="12.75">
      <c r="A37" s="186"/>
      <c r="C37" s="201"/>
      <c r="D37" s="188"/>
      <c r="E37" s="189"/>
      <c r="F37" s="188"/>
      <c r="G37" s="189"/>
      <c r="H37" s="188"/>
      <c r="I37" s="189"/>
      <c r="J37" s="188"/>
      <c r="K37" s="189"/>
      <c r="L37" s="188"/>
      <c r="M37" s="189"/>
      <c r="N37" s="188"/>
      <c r="O37" s="189"/>
    </row>
    <row r="38" spans="1:16" s="195" customFormat="1" ht="15.75">
      <c r="A38" s="191">
        <f>'PLAN.B_Estacionamento'!A90</f>
        <v>3</v>
      </c>
      <c r="B38" s="191">
        <f>'PLAN.B_Estacionamento'!B90</f>
        <v>0</v>
      </c>
      <c r="C38" s="192">
        <f>SUM(C39:C44)</f>
        <v>240168.54</v>
      </c>
      <c r="D38" s="192">
        <f>SUM(D39:D44)</f>
        <v>0</v>
      </c>
      <c r="E38" s="193">
        <f>IF(D38=0,0,D38/$C38)</f>
        <v>0</v>
      </c>
      <c r="F38" s="192">
        <f>SUM(F39:F44)</f>
        <v>0</v>
      </c>
      <c r="G38" s="193">
        <f>IF(F38=0,0,F38/$C38)</f>
        <v>0</v>
      </c>
      <c r="H38" s="192">
        <f>SUM(H39:H44)</f>
        <v>77659.23</v>
      </c>
      <c r="I38" s="193">
        <f>IF(H38=0,0,H38/$C38)</f>
        <v>0.32335305032041245</v>
      </c>
      <c r="J38" s="192">
        <f>SUM(J39:J44)</f>
        <v>0</v>
      </c>
      <c r="K38" s="193">
        <f>IF(J38=0,0,J38/$C38)</f>
        <v>0</v>
      </c>
      <c r="L38" s="192">
        <f>SUM(L39:L44)</f>
        <v>155079.15000000002</v>
      </c>
      <c r="M38" s="193">
        <f>IF(L38=0,0,L38/$C38)</f>
        <v>0.6457096753804642</v>
      </c>
      <c r="N38" s="192">
        <f>SUM(N39:N44)</f>
        <v>7430.16</v>
      </c>
      <c r="O38" s="193">
        <f>IF(N38=0,0,N38/$C38)</f>
        <v>0.03093727429912344</v>
      </c>
      <c r="P38" s="194">
        <f aca="true" t="shared" si="21" ref="P38:P44">IF(C38=(D38+F38+H38+J38+L38+N38)," ","ERRO NO SOMATÓRIO")</f>
        <v>0</v>
      </c>
    </row>
    <row r="39" spans="1:16" s="187" customFormat="1" ht="15.75">
      <c r="A39" s="196">
        <f>'PLAN.B_Estacionamento'!A91</f>
        <v>0</v>
      </c>
      <c r="B39" s="197">
        <f>'PLAN.B_Estacionamento'!B91</f>
        <v>0</v>
      </c>
      <c r="C39" s="198">
        <f>'PLAN.B_Estacionamento'!F91</f>
        <v>103175.1</v>
      </c>
      <c r="D39" s="199"/>
      <c r="E39" s="200">
        <f aca="true" t="shared" si="22" ref="E39:E44">IF(D39&gt;0,D39/$C39," ")</f>
        <v>0</v>
      </c>
      <c r="F39" s="199"/>
      <c r="G39" s="200">
        <f aca="true" t="shared" si="23" ref="G39:G44">IF(F39&gt;0,F39/$C39," ")</f>
        <v>0</v>
      </c>
      <c r="H39" s="199">
        <f>'PLAN.B_Estacionamento'!F93+'PLAN.B_Estacionamento'!F94+'PLAN.B_Estacionamento'!F95+'PLAN.B_Estacionamento'!F96+'PLAN.B_Estacionamento'!F98+'PLAN.B_Estacionamento'!F99+'PLAN.B_Estacionamento'!F101</f>
        <v>57014.71</v>
      </c>
      <c r="I39" s="200">
        <f aca="true" t="shared" si="24" ref="I39:I44">IF(H39&gt;0,H39/$C39," ")</f>
        <v>0.5526014513191652</v>
      </c>
      <c r="J39" s="199"/>
      <c r="K39" s="200">
        <f aca="true" t="shared" si="25" ref="K39:K44">IF(J39&gt;0,J39/$C39," ")</f>
        <v>0</v>
      </c>
      <c r="L39" s="199">
        <f>'PLAN.B_Estacionamento'!F102+'PLAN.B_Estacionamento'!F103+'PLAN.B_Estacionamento'!F104+'PLAN.B_Estacionamento'!F105</f>
        <v>46160.39</v>
      </c>
      <c r="M39" s="200">
        <f aca="true" t="shared" si="26" ref="M39:M44">IF(L39&gt;0,L39/$C39," ")</f>
        <v>0.4473985486808348</v>
      </c>
      <c r="N39" s="199"/>
      <c r="O39" s="200">
        <f aca="true" t="shared" si="27" ref="O39:O44">IF(N39&gt;0,N39/$C39," ")</f>
        <v>0</v>
      </c>
      <c r="P39" s="194">
        <f t="shared" si="21"/>
        <v>0</v>
      </c>
    </row>
    <row r="40" spans="1:16" s="187" customFormat="1" ht="15.75">
      <c r="A40" s="196">
        <f>'PLAN.B_Estacionamento'!A106</f>
        <v>0</v>
      </c>
      <c r="B40" s="197">
        <f>'PLAN.B_Estacionamento'!B106</f>
        <v>0</v>
      </c>
      <c r="C40" s="198">
        <f>'PLAN.B_Estacionamento'!F106</f>
        <v>16290</v>
      </c>
      <c r="D40" s="207"/>
      <c r="E40" s="200">
        <f t="shared" si="22"/>
        <v>0</v>
      </c>
      <c r="F40" s="207"/>
      <c r="G40" s="200">
        <f t="shared" si="23"/>
        <v>0</v>
      </c>
      <c r="H40" s="207"/>
      <c r="I40" s="200">
        <f t="shared" si="24"/>
        <v>0</v>
      </c>
      <c r="J40" s="207"/>
      <c r="K40" s="200">
        <f t="shared" si="25"/>
        <v>0</v>
      </c>
      <c r="L40" s="207">
        <f>'PLAN.B_Estacionamento'!F106</f>
        <v>16290</v>
      </c>
      <c r="M40" s="200">
        <f t="shared" si="26"/>
        <v>1</v>
      </c>
      <c r="N40" s="207"/>
      <c r="O40" s="200">
        <f t="shared" si="27"/>
        <v>0</v>
      </c>
      <c r="P40" s="194">
        <f t="shared" si="21"/>
        <v>0</v>
      </c>
    </row>
    <row r="41" spans="1:16" s="187" customFormat="1" ht="15.75">
      <c r="A41" s="196">
        <f>'PLAN.B_Estacionamento'!A109</f>
        <v>0</v>
      </c>
      <c r="B41" s="197">
        <f>'PLAN.B_Estacionamento'!B109</f>
        <v>0</v>
      </c>
      <c r="C41" s="198">
        <f>'PLAN.B_Estacionamento'!F109</f>
        <v>790.95</v>
      </c>
      <c r="D41" s="207"/>
      <c r="E41" s="200">
        <f t="shared" si="22"/>
        <v>0</v>
      </c>
      <c r="F41" s="207"/>
      <c r="G41" s="200">
        <f t="shared" si="23"/>
        <v>0</v>
      </c>
      <c r="H41" s="207"/>
      <c r="I41" s="200">
        <f t="shared" si="24"/>
        <v>0</v>
      </c>
      <c r="J41" s="207"/>
      <c r="K41" s="200">
        <f t="shared" si="25"/>
        <v>0</v>
      </c>
      <c r="L41" s="207">
        <f>'PLAN.B_Estacionamento'!F109</f>
        <v>790.95</v>
      </c>
      <c r="M41" s="200">
        <f t="shared" si="26"/>
        <v>1</v>
      </c>
      <c r="N41" s="207"/>
      <c r="O41" s="200">
        <f t="shared" si="27"/>
        <v>0</v>
      </c>
      <c r="P41" s="194">
        <f t="shared" si="21"/>
        <v>0</v>
      </c>
    </row>
    <row r="42" spans="1:16" s="187" customFormat="1" ht="15.75">
      <c r="A42" s="196">
        <f>'PLAN.B_Estacionamento'!A112</f>
        <v>0</v>
      </c>
      <c r="B42" s="197">
        <f>'PLAN.B_Estacionamento'!B112</f>
        <v>0</v>
      </c>
      <c r="C42" s="198">
        <f>'PLAN.B_Estacionamento'!F112</f>
        <v>45990.840000000004</v>
      </c>
      <c r="D42" s="207"/>
      <c r="E42" s="200">
        <f t="shared" si="22"/>
        <v>0</v>
      </c>
      <c r="F42" s="207"/>
      <c r="G42" s="200">
        <f t="shared" si="23"/>
        <v>0</v>
      </c>
      <c r="H42" s="207"/>
      <c r="I42" s="200">
        <f t="shared" si="24"/>
        <v>0</v>
      </c>
      <c r="J42" s="207"/>
      <c r="K42" s="200">
        <f t="shared" si="25"/>
        <v>0</v>
      </c>
      <c r="L42" s="207">
        <f>'PLAN.B_Estacionamento'!F112</f>
        <v>45990.840000000004</v>
      </c>
      <c r="M42" s="200">
        <f t="shared" si="26"/>
        <v>1</v>
      </c>
      <c r="N42" s="207"/>
      <c r="O42" s="200">
        <f t="shared" si="27"/>
        <v>0</v>
      </c>
      <c r="P42" s="194">
        <f t="shared" si="21"/>
        <v>0</v>
      </c>
    </row>
    <row r="43" spans="1:16" s="187" customFormat="1" ht="25.5">
      <c r="A43" s="196">
        <f>'PLAN.B_Estacionamento'!A116</f>
        <v>0</v>
      </c>
      <c r="B43" s="197">
        <f>'PLAN.B_Estacionamento'!B116</f>
        <v>0</v>
      </c>
      <c r="C43" s="198">
        <f>'PLAN.B_Estacionamento'!F116</f>
        <v>17987.769999999997</v>
      </c>
      <c r="D43" s="207"/>
      <c r="E43" s="200">
        <f t="shared" si="22"/>
        <v>0</v>
      </c>
      <c r="F43" s="207"/>
      <c r="G43" s="200">
        <f t="shared" si="23"/>
        <v>0</v>
      </c>
      <c r="H43" s="207">
        <f>'PLAN.B_Estacionamento'!F117+'PLAN.B_Estacionamento'!F118+'PLAN.B_Estacionamento'!F119+'PLAN.B_Estacionamento'!F120+'PLAN.B_Estacionamento'!F121</f>
        <v>8609.11</v>
      </c>
      <c r="I43" s="200">
        <f t="shared" si="24"/>
        <v>0.4786090771674311</v>
      </c>
      <c r="J43" s="207"/>
      <c r="K43" s="200">
        <f t="shared" si="25"/>
        <v>0</v>
      </c>
      <c r="L43" s="207">
        <f>'PLAN.B_Estacionamento'!F122</f>
        <v>1948.5</v>
      </c>
      <c r="M43" s="200">
        <f t="shared" si="26"/>
        <v>0.10832359986813264</v>
      </c>
      <c r="N43" s="207">
        <f>'PLAN.B_Estacionamento'!F123</f>
        <v>7430.16</v>
      </c>
      <c r="O43" s="200">
        <f t="shared" si="27"/>
        <v>0.41306732296443643</v>
      </c>
      <c r="P43" s="194">
        <f t="shared" si="21"/>
        <v>0</v>
      </c>
    </row>
    <row r="44" spans="1:16" s="187" customFormat="1" ht="25.5">
      <c r="A44" s="196">
        <f>'PLAN.B_Estacionamento'!A124</f>
        <v>0</v>
      </c>
      <c r="B44" s="197">
        <f>'PLAN.B_Estacionamento'!B124</f>
        <v>0</v>
      </c>
      <c r="C44" s="198">
        <f>'PLAN.B_Estacionamento'!F124</f>
        <v>55933.88</v>
      </c>
      <c r="D44" s="207"/>
      <c r="E44" s="200">
        <f t="shared" si="22"/>
        <v>0</v>
      </c>
      <c r="F44" s="207"/>
      <c r="G44" s="200">
        <f t="shared" si="23"/>
        <v>0</v>
      </c>
      <c r="H44" s="207">
        <f>'PLAN.B_Estacionamento'!F125+'PLAN.B_Estacionamento'!F126+'PLAN.B_Estacionamento'!F127+'PLAN.B_Estacionamento'!F128+'PLAN.B_Estacionamento'!F129+'PLAN.B_Estacionamento'!F130</f>
        <v>12035.41</v>
      </c>
      <c r="I44" s="200">
        <f t="shared" si="24"/>
        <v>0.21517209247776126</v>
      </c>
      <c r="J44" s="207"/>
      <c r="K44" s="200">
        <f t="shared" si="25"/>
        <v>0</v>
      </c>
      <c r="L44" s="207">
        <f>'PLAN.B_Estacionamento'!F131+'PLAN.B_Estacionamento'!F132+'PLAN.B_Estacionamento'!F133+'PLAN.B_Estacionamento'!F134</f>
        <v>43898.469999999994</v>
      </c>
      <c r="M44" s="200">
        <f t="shared" si="26"/>
        <v>0.7848279075222386</v>
      </c>
      <c r="N44" s="207"/>
      <c r="O44" s="200">
        <f t="shared" si="27"/>
        <v>0</v>
      </c>
      <c r="P44" s="194">
        <f t="shared" si="21"/>
        <v>0</v>
      </c>
    </row>
    <row r="45" spans="1:15" s="187" customFormat="1" ht="12.75">
      <c r="A45" s="186"/>
      <c r="C45" s="201"/>
      <c r="D45" s="188"/>
      <c r="E45" s="189"/>
      <c r="F45" s="188"/>
      <c r="G45" s="189"/>
      <c r="H45" s="188"/>
      <c r="I45" s="189"/>
      <c r="J45" s="188"/>
      <c r="K45" s="189"/>
      <c r="L45" s="188"/>
      <c r="M45" s="189"/>
      <c r="N45" s="188"/>
      <c r="O45" s="189"/>
    </row>
    <row r="46" spans="1:16" s="195" customFormat="1" ht="15.75">
      <c r="A46" s="191">
        <f>'PLAN.B_Estacionamento'!A135</f>
        <v>4</v>
      </c>
      <c r="B46" s="191">
        <f>'PLAN.B_Estacionamento'!B135</f>
        <v>0</v>
      </c>
      <c r="C46" s="192">
        <f>SUM(C47:C48)</f>
        <v>7524.52</v>
      </c>
      <c r="D46" s="192">
        <f>SUM(D47:D48)</f>
        <v>0</v>
      </c>
      <c r="E46" s="193">
        <f>IF(D46=0,0,D46/$C46)</f>
        <v>0</v>
      </c>
      <c r="F46" s="192">
        <f>SUM(F47:F48)</f>
        <v>0</v>
      </c>
      <c r="G46" s="193">
        <f>IF(F46=0,0,F46/$C46)</f>
        <v>0</v>
      </c>
      <c r="H46" s="192">
        <f>SUM(H47:H48)</f>
        <v>0</v>
      </c>
      <c r="I46" s="193">
        <f>IF(H46=0,0,H46/$C46)</f>
        <v>0</v>
      </c>
      <c r="J46" s="192">
        <f>SUM(J47:J48)</f>
        <v>0</v>
      </c>
      <c r="K46" s="193">
        <f>IF(J46=0,0,J46/$C46)</f>
        <v>0</v>
      </c>
      <c r="L46" s="192">
        <f>SUM(L47:L48)</f>
        <v>344.52</v>
      </c>
      <c r="M46" s="193">
        <f>IF(L46=0,0,L46/$C46)</f>
        <v>0.045786309292818676</v>
      </c>
      <c r="N46" s="192">
        <f>SUM(N47:N48)</f>
        <v>7180</v>
      </c>
      <c r="O46" s="193">
        <f>IF(N46=0,0,N46/$C46)</f>
        <v>0.9542136907071813</v>
      </c>
      <c r="P46" s="194">
        <f aca="true" t="shared" si="28" ref="P46:P48">IF(C46=(D46+F46+H46+J46+L46+N46)," ","ERRO NO SOMATÓRIO")</f>
        <v>0</v>
      </c>
    </row>
    <row r="47" spans="1:16" s="187" customFormat="1" ht="15.75">
      <c r="A47" s="196">
        <f>'PLAN.B_Estacionamento'!A136</f>
        <v>0</v>
      </c>
      <c r="B47" s="197">
        <f>'PLAN.B_Estacionamento'!B136</f>
        <v>0</v>
      </c>
      <c r="C47" s="198">
        <f>'PLAN.B_Estacionamento'!F136</f>
        <v>344.52</v>
      </c>
      <c r="D47" s="199"/>
      <c r="E47" s="200">
        <f aca="true" t="shared" si="29" ref="E47:E48">IF(D47&gt;0,D47/$C47," ")</f>
        <v>0</v>
      </c>
      <c r="F47" s="199"/>
      <c r="G47" s="200">
        <f aca="true" t="shared" si="30" ref="G47:G48">IF(F47&gt;0,F47/$C47," ")</f>
        <v>0</v>
      </c>
      <c r="H47" s="199"/>
      <c r="I47" s="200">
        <f aca="true" t="shared" si="31" ref="I47:I48">IF(H47&gt;0,H47/$C47," ")</f>
        <v>0</v>
      </c>
      <c r="J47" s="199"/>
      <c r="K47" s="200">
        <f aca="true" t="shared" si="32" ref="K47:K48">IF(J47&gt;0,J47/$C47," ")</f>
        <v>0</v>
      </c>
      <c r="L47" s="199">
        <f>'PLAN.B_Estacionamento'!F136</f>
        <v>344.52</v>
      </c>
      <c r="M47" s="200">
        <f aca="true" t="shared" si="33" ref="M47:M48">IF(L47&gt;0,L47/$C47," ")</f>
        <v>1</v>
      </c>
      <c r="N47" s="199"/>
      <c r="O47" s="200">
        <f aca="true" t="shared" si="34" ref="O47:O48">IF(N47&gt;0,N47/$C47," ")</f>
        <v>0</v>
      </c>
      <c r="P47" s="194">
        <f t="shared" si="28"/>
        <v>0</v>
      </c>
    </row>
    <row r="48" spans="1:16" s="187" customFormat="1" ht="15.75">
      <c r="A48" s="196">
        <f>'PLAN.B_Estacionamento'!A139</f>
        <v>0</v>
      </c>
      <c r="B48" s="197">
        <f>'PLAN.B_Estacionamento'!B139</f>
        <v>0</v>
      </c>
      <c r="C48" s="198">
        <f>'PLAN.B_Estacionamento'!F139</f>
        <v>7180</v>
      </c>
      <c r="D48" s="207"/>
      <c r="E48" s="200">
        <f t="shared" si="29"/>
        <v>0</v>
      </c>
      <c r="F48" s="207"/>
      <c r="G48" s="200">
        <f t="shared" si="30"/>
        <v>0</v>
      </c>
      <c r="H48" s="207"/>
      <c r="I48" s="200">
        <f t="shared" si="31"/>
        <v>0</v>
      </c>
      <c r="J48" s="207"/>
      <c r="K48" s="200">
        <f t="shared" si="32"/>
        <v>0</v>
      </c>
      <c r="L48" s="207"/>
      <c r="M48" s="200">
        <f t="shared" si="33"/>
        <v>0</v>
      </c>
      <c r="N48" s="207">
        <f>'PLAN.B_Estacionamento'!F139</f>
        <v>7180</v>
      </c>
      <c r="O48" s="200">
        <f t="shared" si="34"/>
        <v>1</v>
      </c>
      <c r="P48" s="194">
        <f t="shared" si="28"/>
        <v>0</v>
      </c>
    </row>
    <row r="49" spans="1:15" s="187" customFormat="1" ht="12.75">
      <c r="A49" s="186"/>
      <c r="C49" s="201"/>
      <c r="D49" s="188"/>
      <c r="E49" s="189"/>
      <c r="F49" s="188"/>
      <c r="G49" s="189"/>
      <c r="H49" s="188"/>
      <c r="I49" s="189"/>
      <c r="J49" s="188"/>
      <c r="K49" s="189"/>
      <c r="L49" s="188"/>
      <c r="M49" s="189"/>
      <c r="N49" s="188"/>
      <c r="O49" s="189"/>
    </row>
    <row r="50" spans="1:16" s="195" customFormat="1" ht="15.75">
      <c r="A50" s="191">
        <f>'PLAN.B_Estacionamento'!A141</f>
        <v>5</v>
      </c>
      <c r="B50" s="191">
        <f>'PLAN.B_Estacionamento'!B141</f>
        <v>0</v>
      </c>
      <c r="C50" s="192">
        <f>SUM(C51:C51)</f>
        <v>47117.47</v>
      </c>
      <c r="D50" s="192">
        <f>SUM(D51:D51)</f>
        <v>17904.75</v>
      </c>
      <c r="E50" s="193">
        <f>IF(D50=0,0,D50/$C50)</f>
        <v>0.3800023643035163</v>
      </c>
      <c r="F50" s="192">
        <f>SUM(F51:F51)</f>
        <v>22032.62</v>
      </c>
      <c r="G50" s="193">
        <f>IF(F50=0,0,F50/$C50)</f>
        <v>0.4676104213575134</v>
      </c>
      <c r="H50" s="192">
        <f>SUM(H51:H51)</f>
        <v>4912.7</v>
      </c>
      <c r="I50" s="193">
        <f>IF(H50=0,0,H50/$C50)</f>
        <v>0.10426493612666383</v>
      </c>
      <c r="J50" s="192">
        <f>SUM(J51:J51)</f>
        <v>1133.7</v>
      </c>
      <c r="K50" s="193">
        <f>IF(J50=0,0,J50/$C50)</f>
        <v>0.024061139106153196</v>
      </c>
      <c r="L50" s="192">
        <f>SUM(L51:L51)</f>
        <v>755.8</v>
      </c>
      <c r="M50" s="193">
        <f>IF(L50=0,0,L50/$C50)</f>
        <v>0.01604075940410213</v>
      </c>
      <c r="N50" s="192">
        <f>SUM(N51:N51)</f>
        <v>377.9</v>
      </c>
      <c r="O50" s="193">
        <f>IF(N50=0,0,N50/$C50)</f>
        <v>0.008020379702051064</v>
      </c>
      <c r="P50" s="194">
        <f aca="true" t="shared" si="35" ref="P50:P51">IF(C50=(D50+F50+H50+J50+L50+N50)," ","ERRO NO SOMATÓRIO")</f>
        <v>0</v>
      </c>
    </row>
    <row r="51" spans="1:19" s="187" customFormat="1" ht="15.75">
      <c r="A51" s="196">
        <f>'PLAN.B_Estacionamento'!A142</f>
        <v>0</v>
      </c>
      <c r="B51" s="197">
        <f>'PLAN.B_Estacionamento'!B142</f>
        <v>0</v>
      </c>
      <c r="C51" s="198">
        <f>'PLAN.B_Estacionamento'!F142</f>
        <v>47117.47</v>
      </c>
      <c r="D51" s="199">
        <f>ROUND('PLAN.B_Estacionamento'!E143*366.45,2)</f>
        <v>17904.75</v>
      </c>
      <c r="E51" s="200">
        <f>IF(D51&gt;0,D51/$C51," ")</f>
        <v>0.3800023643035163</v>
      </c>
      <c r="F51" s="199">
        <f>ROUND('PLAN.B_Estacionamento'!E143*('PLAN.B_Estacionamento'!D143-366.45),2)</f>
        <v>22032.62</v>
      </c>
      <c r="G51" s="200">
        <f>IF(F51&gt;0,F51/$C51," ")</f>
        <v>0.4676104213575134</v>
      </c>
      <c r="H51" s="199">
        <f>ROUND('PLAN.B_Estacionamento'!E144*65,2)</f>
        <v>4912.7</v>
      </c>
      <c r="I51" s="200">
        <f>IF(H51&gt;0,H51/$C51," ")</f>
        <v>0.10426493612666383</v>
      </c>
      <c r="J51" s="199">
        <f>ROUND('PLAN.B_Estacionamento'!E144*15,2)</f>
        <v>1133.7</v>
      </c>
      <c r="K51" s="200">
        <f>IF(J51&gt;0,J51/$C51," ")</f>
        <v>0.024061139106153196</v>
      </c>
      <c r="L51" s="199">
        <f>ROUND('PLAN.B_Estacionamento'!E144*10,2)</f>
        <v>755.8</v>
      </c>
      <c r="M51" s="200">
        <f>IF(L51&gt;0,L51/$C51," ")</f>
        <v>0.01604075940410213</v>
      </c>
      <c r="N51" s="199">
        <f>ROUND('PLAN.B_Estacionamento'!E144*5,2)</f>
        <v>377.9</v>
      </c>
      <c r="O51" s="200">
        <f>IF(N51&gt;0,N51/$C51," ")</f>
        <v>0.008020379702051064</v>
      </c>
      <c r="P51" s="194">
        <f t="shared" si="35"/>
        <v>0</v>
      </c>
      <c r="S51" s="208"/>
    </row>
    <row r="52" spans="1:15" s="187" customFormat="1" ht="12.75">
      <c r="A52" s="186"/>
      <c r="C52" s="201"/>
      <c r="D52" s="188"/>
      <c r="E52" s="189"/>
      <c r="F52" s="188"/>
      <c r="G52" s="189"/>
      <c r="H52" s="188"/>
      <c r="I52" s="189"/>
      <c r="J52" s="188"/>
      <c r="K52" s="189"/>
      <c r="L52" s="188"/>
      <c r="M52" s="189"/>
      <c r="N52" s="188"/>
      <c r="O52" s="189"/>
    </row>
    <row r="53" spans="1:16" s="187" customFormat="1" ht="15.75">
      <c r="A53" s="186"/>
      <c r="B53" s="202" t="s">
        <v>693</v>
      </c>
      <c r="C53" s="203">
        <f>C24+C29+C38+C46+C50</f>
        <v>998564.38</v>
      </c>
      <c r="D53" s="203">
        <f>D24+D29+D38+D46+D50</f>
        <v>52346.24</v>
      </c>
      <c r="E53" s="193">
        <f>IF(D53=0,0,D53/$C53)</f>
        <v>0.052421497350025645</v>
      </c>
      <c r="F53" s="203">
        <f>F24+F29+F38+F46+F50</f>
        <v>47645.369999999995</v>
      </c>
      <c r="G53" s="193">
        <f>IF(F53=0,0,F53/$C53)</f>
        <v>0.04771386898459166</v>
      </c>
      <c r="H53" s="203">
        <f>H24+H29+H38+H46+H50</f>
        <v>253626.56</v>
      </c>
      <c r="I53" s="193">
        <f>IF(H53=0,0,H53/$C53)</f>
        <v>0.25399119483913496</v>
      </c>
      <c r="J53" s="203">
        <f>J24+J29+J38+J46+J50</f>
        <v>145083.38</v>
      </c>
      <c r="K53" s="193">
        <f>IF(J53=0,0,J53/$C53)</f>
        <v>0.14529196404942865</v>
      </c>
      <c r="L53" s="203">
        <f>L24+L29+L38+L46+L50</f>
        <v>451001.36000000004</v>
      </c>
      <c r="M53" s="193">
        <f>IF(L53=0,0,L53/$C53)</f>
        <v>0.45164975742475416</v>
      </c>
      <c r="N53" s="203">
        <f>N24+N29+N38+N46+N50</f>
        <v>48861.47000000001</v>
      </c>
      <c r="O53" s="193">
        <f>IF(N53=0,0,N53/$C53)</f>
        <v>0.04893171735206498</v>
      </c>
      <c r="P53" s="194">
        <f>IF(C53=(D53+F53+H53+J53+L53+N53)," ","ERRO NO SOMATÓRIO")</f>
        <v>0</v>
      </c>
    </row>
    <row r="54" ht="12.75">
      <c r="C54" s="204">
        <f>IF(C53='PLAN.B_Estacionamento'!F146," ","ERRO NO SOMATÓRIO")</f>
        <v>0</v>
      </c>
    </row>
    <row r="55" spans="1:15" s="187" customFormat="1" ht="18">
      <c r="A55" s="186"/>
      <c r="B55" s="205"/>
      <c r="D55" s="188"/>
      <c r="E55" s="189"/>
      <c r="F55" s="188"/>
      <c r="G55" s="189"/>
      <c r="H55" s="188"/>
      <c r="I55" s="189"/>
      <c r="J55" s="188"/>
      <c r="K55" s="189"/>
      <c r="L55" s="188"/>
      <c r="M55" s="189"/>
      <c r="N55" s="188"/>
      <c r="O55" s="189"/>
    </row>
    <row r="56" spans="1:15" s="187" customFormat="1" ht="18">
      <c r="A56" s="186"/>
      <c r="B56" s="190">
        <f>'PLAN.C_SPCIP'!A8</f>
        <v>0</v>
      </c>
      <c r="C56" s="190"/>
      <c r="D56" s="190"/>
      <c r="E56" s="190"/>
      <c r="F56" s="190"/>
      <c r="G56" s="190"/>
      <c r="H56" s="190"/>
      <c r="I56" s="190"/>
      <c r="J56" s="190"/>
      <c r="K56" s="190"/>
      <c r="L56" s="190"/>
      <c r="M56" s="190"/>
      <c r="N56" s="190"/>
      <c r="O56" s="190"/>
    </row>
    <row r="57" spans="1:16" s="195" customFormat="1" ht="15.75">
      <c r="A57" s="191">
        <f>'PLAN.C_SPCIP'!A10</f>
        <v>1</v>
      </c>
      <c r="B57" s="191">
        <f>'PLAN.C_SPCIP'!B10</f>
        <v>0</v>
      </c>
      <c r="C57" s="192">
        <f>SUM(C58:C62)</f>
        <v>13742.439999999999</v>
      </c>
      <c r="D57" s="192">
        <f>SUM(D58:D62)</f>
        <v>0</v>
      </c>
      <c r="E57" s="193">
        <f>IF(D57=0,0,D57/$C57)</f>
        <v>0</v>
      </c>
      <c r="F57" s="192">
        <f>SUM(F58:F62)</f>
        <v>0</v>
      </c>
      <c r="G57" s="193">
        <f>IF(F57=0,0,F57/$C57)</f>
        <v>0</v>
      </c>
      <c r="H57" s="192">
        <f>SUM(H58:H62)</f>
        <v>0</v>
      </c>
      <c r="I57" s="193">
        <f>IF(H57=0,0,H57/$C57)</f>
        <v>0</v>
      </c>
      <c r="J57" s="192">
        <f>SUM(J58:J62)</f>
        <v>0</v>
      </c>
      <c r="K57" s="193">
        <f>IF(J57=0,0,J57/$C57)</f>
        <v>0</v>
      </c>
      <c r="L57" s="192">
        <f>SUM(L58:L62)</f>
        <v>8513.09</v>
      </c>
      <c r="M57" s="193">
        <f>IF(L57=0,0,L57/$C57)</f>
        <v>0.6194744164791697</v>
      </c>
      <c r="N57" s="192">
        <f>SUM(N58:N62)</f>
        <v>5229.35</v>
      </c>
      <c r="O57" s="193">
        <f>IF(N57=0,0,N57/$C57)</f>
        <v>0.38052558352083043</v>
      </c>
      <c r="P57" s="194">
        <f aca="true" t="shared" si="36" ref="P57:P62">IF(C57=(D57+F57+H57+J57+L57+N57)," ","ERRO NO SOMATÓRIO")</f>
        <v>0</v>
      </c>
    </row>
    <row r="58" spans="1:16" s="187" customFormat="1" ht="15.75">
      <c r="A58" s="196">
        <f>'PLAN.C_SPCIP'!A11</f>
        <v>0</v>
      </c>
      <c r="B58" s="197">
        <f>'PLAN.C_SPCIP'!B11</f>
        <v>0</v>
      </c>
      <c r="C58" s="198">
        <f>'PLAN.C_SPCIP'!F11</f>
        <v>1164.24</v>
      </c>
      <c r="D58" s="199"/>
      <c r="E58" s="200">
        <f aca="true" t="shared" si="37" ref="E58:E62">IF(D58&gt;0,D58/$C58," ")</f>
        <v>0</v>
      </c>
      <c r="F58" s="199"/>
      <c r="G58" s="200">
        <f aca="true" t="shared" si="38" ref="G58:G62">IF(F58&gt;0,F58/$C58," ")</f>
        <v>0</v>
      </c>
      <c r="H58" s="199"/>
      <c r="I58" s="200">
        <f aca="true" t="shared" si="39" ref="I58:I62">IF(H58&gt;0,H58/$C58," ")</f>
        <v>0</v>
      </c>
      <c r="J58" s="199"/>
      <c r="K58" s="200">
        <f aca="true" t="shared" si="40" ref="K58:K62">IF(J58&gt;0,J58/$C58," ")</f>
        <v>0</v>
      </c>
      <c r="L58" s="199"/>
      <c r="M58" s="200">
        <f aca="true" t="shared" si="41" ref="M58:M62">IF(L58&gt;0,L58/$C58," ")</f>
        <v>0</v>
      </c>
      <c r="N58" s="199">
        <f>'PLAN.C_SPCIP'!F11</f>
        <v>1164.24</v>
      </c>
      <c r="O58" s="200">
        <f aca="true" t="shared" si="42" ref="O58:O62">IF(N58&gt;0,N58/$C58," ")</f>
        <v>1</v>
      </c>
      <c r="P58" s="194">
        <f t="shared" si="36"/>
        <v>0</v>
      </c>
    </row>
    <row r="59" spans="1:16" s="187" customFormat="1" ht="15.75">
      <c r="A59" s="196">
        <f>'PLAN.C_SPCIP'!A20</f>
        <v>0</v>
      </c>
      <c r="B59" s="197">
        <f>'PLAN.C_SPCIP'!B20</f>
        <v>0</v>
      </c>
      <c r="C59" s="198">
        <f>'PLAN.C_SPCIP'!F20</f>
        <v>7089.66</v>
      </c>
      <c r="D59" s="199"/>
      <c r="E59" s="200">
        <f t="shared" si="37"/>
        <v>0</v>
      </c>
      <c r="F59" s="199"/>
      <c r="G59" s="200">
        <f t="shared" si="38"/>
        <v>0</v>
      </c>
      <c r="H59" s="199"/>
      <c r="I59" s="200">
        <f t="shared" si="39"/>
        <v>0</v>
      </c>
      <c r="J59" s="199"/>
      <c r="K59" s="200">
        <f t="shared" si="40"/>
        <v>0</v>
      </c>
      <c r="L59" s="199">
        <f>'PLAN.C_SPCIP'!F20</f>
        <v>7089.66</v>
      </c>
      <c r="M59" s="200">
        <f t="shared" si="41"/>
        <v>1</v>
      </c>
      <c r="N59" s="199"/>
      <c r="O59" s="200">
        <f t="shared" si="42"/>
        <v>0</v>
      </c>
      <c r="P59" s="194">
        <f t="shared" si="36"/>
        <v>0</v>
      </c>
    </row>
    <row r="60" spans="1:16" s="187" customFormat="1" ht="15.75">
      <c r="A60" s="196">
        <f>'PLAN.C_SPCIP'!A22</f>
        <v>0</v>
      </c>
      <c r="B60" s="197">
        <f>'PLAN.C_SPCIP'!B22</f>
        <v>0</v>
      </c>
      <c r="C60" s="198">
        <f>'PLAN.C_SPCIP'!F22</f>
        <v>3073.73</v>
      </c>
      <c r="D60" s="199"/>
      <c r="E60" s="200">
        <f t="shared" si="37"/>
        <v>0</v>
      </c>
      <c r="F60" s="199"/>
      <c r="G60" s="200">
        <f t="shared" si="38"/>
        <v>0</v>
      </c>
      <c r="H60" s="199"/>
      <c r="I60" s="200">
        <f t="shared" si="39"/>
        <v>0</v>
      </c>
      <c r="J60" s="199"/>
      <c r="K60" s="200">
        <f t="shared" si="40"/>
        <v>0</v>
      </c>
      <c r="L60" s="199"/>
      <c r="M60" s="200">
        <f t="shared" si="41"/>
        <v>0</v>
      </c>
      <c r="N60" s="199">
        <f>'PLAN.C_SPCIP'!F22</f>
        <v>3073.73</v>
      </c>
      <c r="O60" s="200">
        <f t="shared" si="42"/>
        <v>1</v>
      </c>
      <c r="P60" s="194">
        <f t="shared" si="36"/>
        <v>0</v>
      </c>
    </row>
    <row r="61" spans="1:16" s="187" customFormat="1" ht="15.75">
      <c r="A61" s="196">
        <f>'PLAN.C_SPCIP'!A24</f>
        <v>0</v>
      </c>
      <c r="B61" s="197">
        <f>'PLAN.C_SPCIP'!B24</f>
        <v>0</v>
      </c>
      <c r="C61" s="198">
        <f>'PLAN.C_SPCIP'!F24</f>
        <v>1423.43</v>
      </c>
      <c r="D61" s="199"/>
      <c r="E61" s="200">
        <f t="shared" si="37"/>
        <v>0</v>
      </c>
      <c r="F61" s="199"/>
      <c r="G61" s="200">
        <f t="shared" si="38"/>
        <v>0</v>
      </c>
      <c r="H61" s="199"/>
      <c r="I61" s="200">
        <f t="shared" si="39"/>
        <v>0</v>
      </c>
      <c r="J61" s="199"/>
      <c r="K61" s="200">
        <f t="shared" si="40"/>
        <v>0</v>
      </c>
      <c r="L61" s="199">
        <f>'PLAN.C_SPCIP'!F24</f>
        <v>1423.43</v>
      </c>
      <c r="M61" s="200">
        <f t="shared" si="41"/>
        <v>1</v>
      </c>
      <c r="N61" s="199"/>
      <c r="O61" s="200">
        <f t="shared" si="42"/>
        <v>0</v>
      </c>
      <c r="P61" s="194">
        <f t="shared" si="36"/>
        <v>0</v>
      </c>
    </row>
    <row r="62" spans="1:16" s="187" customFormat="1" ht="15.75">
      <c r="A62" s="196">
        <f>'PLAN.C_SPCIP'!A28</f>
        <v>0</v>
      </c>
      <c r="B62" s="197">
        <f>'PLAN.C_SPCIP'!B28</f>
        <v>0</v>
      </c>
      <c r="C62" s="198">
        <f>'PLAN.C_SPCIP'!F28</f>
        <v>991.38</v>
      </c>
      <c r="D62" s="199"/>
      <c r="E62" s="200">
        <f t="shared" si="37"/>
        <v>0</v>
      </c>
      <c r="F62" s="199"/>
      <c r="G62" s="200">
        <f t="shared" si="38"/>
        <v>0</v>
      </c>
      <c r="H62" s="199"/>
      <c r="I62" s="200">
        <f t="shared" si="39"/>
        <v>0</v>
      </c>
      <c r="J62" s="199"/>
      <c r="K62" s="200">
        <f t="shared" si="40"/>
        <v>0</v>
      </c>
      <c r="L62" s="199"/>
      <c r="M62" s="200">
        <f t="shared" si="41"/>
        <v>0</v>
      </c>
      <c r="N62" s="199">
        <f>'PLAN.C_SPCIP'!F28</f>
        <v>991.38</v>
      </c>
      <c r="O62" s="200">
        <f t="shared" si="42"/>
        <v>1</v>
      </c>
      <c r="P62" s="194">
        <f t="shared" si="36"/>
        <v>0</v>
      </c>
    </row>
    <row r="63" spans="1:15" s="187" customFormat="1" ht="12.75">
      <c r="A63" s="186"/>
      <c r="C63" s="201"/>
      <c r="D63" s="188"/>
      <c r="E63" s="189"/>
      <c r="F63" s="188"/>
      <c r="G63" s="189"/>
      <c r="H63" s="188"/>
      <c r="I63" s="189"/>
      <c r="J63" s="188"/>
      <c r="K63" s="189"/>
      <c r="L63" s="188"/>
      <c r="M63" s="189"/>
      <c r="N63" s="188"/>
      <c r="O63" s="189"/>
    </row>
    <row r="64" spans="1:16" s="195" customFormat="1" ht="15.75">
      <c r="A64" s="191">
        <f>'PLAN.C_SPCIP'!A30</f>
        <v>2</v>
      </c>
      <c r="B64" s="191">
        <f>'PLAN.C_SPCIP'!B30</f>
        <v>0</v>
      </c>
      <c r="C64" s="192">
        <f>SUM(C65:C69)</f>
        <v>19063.9</v>
      </c>
      <c r="D64" s="192">
        <f>SUM(D65:D69)</f>
        <v>0</v>
      </c>
      <c r="E64" s="193">
        <f>IF(D64=0,0,D64/$C64)</f>
        <v>0</v>
      </c>
      <c r="F64" s="192">
        <f>SUM(F65:F69)</f>
        <v>0</v>
      </c>
      <c r="G64" s="193">
        <f>IF(F64=0,0,F64/$C64)</f>
        <v>0</v>
      </c>
      <c r="H64" s="192">
        <f>SUM(H65:H69)</f>
        <v>0</v>
      </c>
      <c r="I64" s="193">
        <f>IF(H64=0,0,H64/$C64)</f>
        <v>0</v>
      </c>
      <c r="J64" s="192">
        <f>SUM(J65:J69)</f>
        <v>0</v>
      </c>
      <c r="K64" s="193">
        <f>IF(J64=0,0,J64/$C64)</f>
        <v>0</v>
      </c>
      <c r="L64" s="192">
        <f>SUM(L65:L69)</f>
        <v>10439.04</v>
      </c>
      <c r="M64" s="193">
        <f>IF(L64=0,0,L64/$C64)</f>
        <v>0.5475815546661491</v>
      </c>
      <c r="N64" s="192">
        <f>SUM(N65:N69)</f>
        <v>8624.86</v>
      </c>
      <c r="O64" s="193">
        <f>IF(N64=0,0,N64/$C64)</f>
        <v>0.4524184453338509</v>
      </c>
      <c r="P64" s="194">
        <f aca="true" t="shared" si="43" ref="P64:P69">IF(C64=(D64+F64+H64+J64+L64+N64)," ","ERRO NO SOMATÓRIO")</f>
        <v>0</v>
      </c>
    </row>
    <row r="65" spans="1:16" s="187" customFormat="1" ht="15.75">
      <c r="A65" s="196">
        <f>'PLAN.C_SPCIP'!A31</f>
        <v>0</v>
      </c>
      <c r="B65" s="197">
        <f>'PLAN.C_SPCIP'!B31</f>
        <v>0</v>
      </c>
      <c r="C65" s="198">
        <f>'PLAN.C_SPCIP'!F31</f>
        <v>1850.72</v>
      </c>
      <c r="D65" s="199"/>
      <c r="E65" s="200">
        <f aca="true" t="shared" si="44" ref="E65:E69">IF(D65&gt;0,D65/$C65," ")</f>
        <v>0</v>
      </c>
      <c r="F65" s="199"/>
      <c r="G65" s="200">
        <f aca="true" t="shared" si="45" ref="G65:G69">IF(F65&gt;0,F65/$C65," ")</f>
        <v>0</v>
      </c>
      <c r="H65" s="199"/>
      <c r="I65" s="200">
        <f aca="true" t="shared" si="46" ref="I65:I69">IF(H65&gt;0,H65/$C65," ")</f>
        <v>0</v>
      </c>
      <c r="J65" s="199"/>
      <c r="K65" s="200">
        <f aca="true" t="shared" si="47" ref="K65:K69">IF(J65&gt;0,J65/$C65," ")</f>
        <v>0</v>
      </c>
      <c r="L65" s="199"/>
      <c r="M65" s="200">
        <f aca="true" t="shared" si="48" ref="M65:M69">IF(L65&gt;0,L65/$C65," ")</f>
        <v>0</v>
      </c>
      <c r="N65" s="199">
        <f>'PLAN.C_SPCIP'!F31</f>
        <v>1850.72</v>
      </c>
      <c r="O65" s="200">
        <f aca="true" t="shared" si="49" ref="O65:O69">IF(N65&gt;0,N65/$C65," ")</f>
        <v>1</v>
      </c>
      <c r="P65" s="194">
        <f t="shared" si="43"/>
        <v>0</v>
      </c>
    </row>
    <row r="66" spans="1:16" s="187" customFormat="1" ht="15.75">
      <c r="A66" s="196">
        <f>'PLAN.C_SPCIP'!A48</f>
        <v>0</v>
      </c>
      <c r="B66" s="197">
        <f>'PLAN.C_SPCIP'!B48</f>
        <v>0</v>
      </c>
      <c r="C66" s="198">
        <f>'PLAN.C_SPCIP'!F48</f>
        <v>7893.410000000001</v>
      </c>
      <c r="D66" s="207"/>
      <c r="E66" s="200">
        <f t="shared" si="44"/>
        <v>0</v>
      </c>
      <c r="F66" s="207"/>
      <c r="G66" s="200">
        <f t="shared" si="45"/>
        <v>0</v>
      </c>
      <c r="H66" s="207"/>
      <c r="I66" s="200">
        <f t="shared" si="46"/>
        <v>0</v>
      </c>
      <c r="J66" s="207"/>
      <c r="K66" s="200">
        <f t="shared" si="47"/>
        <v>0</v>
      </c>
      <c r="L66" s="207">
        <f>'PLAN.C_SPCIP'!F48</f>
        <v>7893.410000000001</v>
      </c>
      <c r="M66" s="200">
        <f t="shared" si="48"/>
        <v>1</v>
      </c>
      <c r="N66" s="207"/>
      <c r="O66" s="200">
        <f t="shared" si="49"/>
        <v>0</v>
      </c>
      <c r="P66" s="194">
        <f t="shared" si="43"/>
        <v>0</v>
      </c>
    </row>
    <row r="67" spans="1:16" s="187" customFormat="1" ht="15.75">
      <c r="A67" s="196">
        <f>'PLAN.C_SPCIP'!A51</f>
        <v>0</v>
      </c>
      <c r="B67" s="197">
        <f>'PLAN.C_SPCIP'!B51</f>
        <v>0</v>
      </c>
      <c r="C67" s="198">
        <f>'PLAN.C_SPCIP'!F51</f>
        <v>5706.5</v>
      </c>
      <c r="D67" s="207"/>
      <c r="E67" s="200">
        <f t="shared" si="44"/>
        <v>0</v>
      </c>
      <c r="F67" s="207"/>
      <c r="G67" s="200">
        <f t="shared" si="45"/>
        <v>0</v>
      </c>
      <c r="H67" s="207"/>
      <c r="I67" s="200">
        <f t="shared" si="46"/>
        <v>0</v>
      </c>
      <c r="J67" s="207"/>
      <c r="K67" s="200">
        <f t="shared" si="47"/>
        <v>0</v>
      </c>
      <c r="L67" s="207"/>
      <c r="M67" s="200">
        <f t="shared" si="48"/>
        <v>0</v>
      </c>
      <c r="N67" s="207">
        <f>'PLAN.C_SPCIP'!F51</f>
        <v>5706.5</v>
      </c>
      <c r="O67" s="200">
        <f t="shared" si="49"/>
        <v>1</v>
      </c>
      <c r="P67" s="194">
        <f t="shared" si="43"/>
        <v>0</v>
      </c>
    </row>
    <row r="68" spans="1:16" s="187" customFormat="1" ht="15.75">
      <c r="A68" s="196">
        <f>'PLAN.C_SPCIP'!A54</f>
        <v>0</v>
      </c>
      <c r="B68" s="197">
        <f>'PLAN.C_SPCIP'!B54</f>
        <v>0</v>
      </c>
      <c r="C68" s="198">
        <f>'PLAN.C_SPCIP'!F54</f>
        <v>2545.63</v>
      </c>
      <c r="D68" s="207"/>
      <c r="E68" s="200">
        <f t="shared" si="44"/>
        <v>0</v>
      </c>
      <c r="F68" s="207"/>
      <c r="G68" s="200">
        <f t="shared" si="45"/>
        <v>0</v>
      </c>
      <c r="H68" s="207"/>
      <c r="I68" s="200">
        <f t="shared" si="46"/>
        <v>0</v>
      </c>
      <c r="J68" s="207"/>
      <c r="K68" s="200">
        <f t="shared" si="47"/>
        <v>0</v>
      </c>
      <c r="L68" s="207">
        <f>'PLAN.C_SPCIP'!F54</f>
        <v>2545.63</v>
      </c>
      <c r="M68" s="200">
        <f t="shared" si="48"/>
        <v>1</v>
      </c>
      <c r="N68" s="207"/>
      <c r="O68" s="200">
        <f t="shared" si="49"/>
        <v>0</v>
      </c>
      <c r="P68" s="194">
        <f t="shared" si="43"/>
        <v>0</v>
      </c>
    </row>
    <row r="69" spans="1:16" s="187" customFormat="1" ht="15.75">
      <c r="A69" s="196">
        <f>'PLAN.C_SPCIP'!A58</f>
        <v>0</v>
      </c>
      <c r="B69" s="197">
        <f>'PLAN.C_SPCIP'!B58</f>
        <v>0</v>
      </c>
      <c r="C69" s="198">
        <f>'PLAN.C_SPCIP'!F58</f>
        <v>1067.64</v>
      </c>
      <c r="D69" s="207"/>
      <c r="E69" s="200">
        <f t="shared" si="44"/>
        <v>0</v>
      </c>
      <c r="F69" s="207"/>
      <c r="G69" s="200">
        <f t="shared" si="45"/>
        <v>0</v>
      </c>
      <c r="H69" s="207"/>
      <c r="I69" s="200">
        <f t="shared" si="46"/>
        <v>0</v>
      </c>
      <c r="J69" s="207"/>
      <c r="K69" s="200">
        <f t="shared" si="47"/>
        <v>0</v>
      </c>
      <c r="L69" s="207"/>
      <c r="M69" s="200">
        <f t="shared" si="48"/>
        <v>0</v>
      </c>
      <c r="N69" s="207">
        <f>'PLAN.C_SPCIP'!F58</f>
        <v>1067.64</v>
      </c>
      <c r="O69" s="200">
        <f t="shared" si="49"/>
        <v>1</v>
      </c>
      <c r="P69" s="194">
        <f t="shared" si="43"/>
        <v>0</v>
      </c>
    </row>
    <row r="70" spans="1:15" s="187" customFormat="1" ht="12.75">
      <c r="A70" s="186"/>
      <c r="C70" s="201"/>
      <c r="D70" s="188"/>
      <c r="E70" s="189"/>
      <c r="F70" s="188"/>
      <c r="G70" s="189"/>
      <c r="H70" s="188"/>
      <c r="I70" s="189"/>
      <c r="J70" s="188"/>
      <c r="K70" s="189"/>
      <c r="L70" s="188"/>
      <c r="M70" s="189"/>
      <c r="N70" s="188"/>
      <c r="O70" s="189"/>
    </row>
    <row r="71" spans="1:16" s="195" customFormat="1" ht="15.75">
      <c r="A71" s="191">
        <f>'PLAN.C_SPCIP'!A60</f>
        <v>3</v>
      </c>
      <c r="B71" s="191">
        <f>'PLAN.C_SPCIP'!B60</f>
        <v>0</v>
      </c>
      <c r="C71" s="192">
        <f>SUM(C72:C73)</f>
        <v>215.27</v>
      </c>
      <c r="D71" s="192">
        <f>SUM(D72:D73)</f>
        <v>0</v>
      </c>
      <c r="E71" s="193">
        <f>IF(D71=0,0,D71/$C71)</f>
        <v>0</v>
      </c>
      <c r="F71" s="192">
        <f>SUM(F72:F73)</f>
        <v>0</v>
      </c>
      <c r="G71" s="193">
        <f>IF(F71=0,0,F71/$C71)</f>
        <v>0</v>
      </c>
      <c r="H71" s="192">
        <f>SUM(H72:H73)</f>
        <v>0</v>
      </c>
      <c r="I71" s="193">
        <f>IF(H71=0,0,H71/$C71)</f>
        <v>0</v>
      </c>
      <c r="J71" s="192">
        <f>SUM(J72:J73)</f>
        <v>0</v>
      </c>
      <c r="K71" s="193">
        <f>IF(J71=0,0,J71/$C71)</f>
        <v>0</v>
      </c>
      <c r="L71" s="192">
        <f>SUM(L72:L73)</f>
        <v>0</v>
      </c>
      <c r="M71" s="193">
        <f>IF(L71=0,0,L71/$C71)</f>
        <v>0</v>
      </c>
      <c r="N71" s="192">
        <f>SUM(N72:N73)</f>
        <v>215.27</v>
      </c>
      <c r="O71" s="193">
        <f>IF(N71=0,0,N71/$C71)</f>
        <v>1</v>
      </c>
      <c r="P71" s="194">
        <f aca="true" t="shared" si="50" ref="P71:P73">IF(C71=(D71+F71+H71+J71+L71+N71)," ","ERRO NO SOMATÓRIO")</f>
        <v>0</v>
      </c>
    </row>
    <row r="72" spans="1:16" s="187" customFormat="1" ht="15.75">
      <c r="A72" s="196">
        <f>'PLAN.C_SPCIP'!A61</f>
        <v>0</v>
      </c>
      <c r="B72" s="197">
        <f>'PLAN.C_SPCIP'!B61</f>
        <v>0</v>
      </c>
      <c r="C72" s="198">
        <f>'PLAN.C_SPCIP'!F61</f>
        <v>24.62</v>
      </c>
      <c r="D72" s="199"/>
      <c r="E72" s="200">
        <f aca="true" t="shared" si="51" ref="E72:E73">IF(D72&gt;0,D72/$C72," ")</f>
        <v>0</v>
      </c>
      <c r="F72" s="199"/>
      <c r="G72" s="200">
        <f aca="true" t="shared" si="52" ref="G72:G73">IF(F72&gt;0,F72/$C72," ")</f>
        <v>0</v>
      </c>
      <c r="H72" s="199"/>
      <c r="I72" s="200">
        <f aca="true" t="shared" si="53" ref="I72:I73">IF(H72&gt;0,H72/$C72," ")</f>
        <v>0</v>
      </c>
      <c r="J72" s="199"/>
      <c r="K72" s="200">
        <f aca="true" t="shared" si="54" ref="K72:K73">IF(J72&gt;0,J72/$C72," ")</f>
        <v>0</v>
      </c>
      <c r="L72" s="199"/>
      <c r="M72" s="200">
        <f aca="true" t="shared" si="55" ref="M72:M73">IF(L72&gt;0,L72/$C72," ")</f>
        <v>0</v>
      </c>
      <c r="N72" s="199">
        <f>'PLAN.C_SPCIP'!F61</f>
        <v>24.62</v>
      </c>
      <c r="O72" s="200">
        <f aca="true" t="shared" si="56" ref="O72:O73">IF(N72&gt;0,N72/$C72," ")</f>
        <v>1</v>
      </c>
      <c r="P72" s="194">
        <f t="shared" si="50"/>
        <v>0</v>
      </c>
    </row>
    <row r="73" spans="1:16" s="187" customFormat="1" ht="15.75">
      <c r="A73" s="196">
        <f>'PLAN.C_SPCIP'!A63</f>
        <v>0</v>
      </c>
      <c r="B73" s="197">
        <f>'PLAN.C_SPCIP'!B63</f>
        <v>0</v>
      </c>
      <c r="C73" s="198">
        <f>'PLAN.C_SPCIP'!F63</f>
        <v>190.65</v>
      </c>
      <c r="D73" s="207"/>
      <c r="E73" s="200">
        <f t="shared" si="51"/>
        <v>0</v>
      </c>
      <c r="F73" s="207"/>
      <c r="G73" s="200">
        <f t="shared" si="52"/>
        <v>0</v>
      </c>
      <c r="H73" s="207"/>
      <c r="I73" s="200">
        <f t="shared" si="53"/>
        <v>0</v>
      </c>
      <c r="J73" s="207"/>
      <c r="K73" s="200">
        <f t="shared" si="54"/>
        <v>0</v>
      </c>
      <c r="L73" s="207"/>
      <c r="M73" s="200">
        <f t="shared" si="55"/>
        <v>0</v>
      </c>
      <c r="N73" s="207">
        <f>'PLAN.C_SPCIP'!F63</f>
        <v>190.65</v>
      </c>
      <c r="O73" s="200">
        <f t="shared" si="56"/>
        <v>1</v>
      </c>
      <c r="P73" s="194">
        <f t="shared" si="50"/>
        <v>0</v>
      </c>
    </row>
    <row r="74" spans="1:15" s="187" customFormat="1" ht="12.75">
      <c r="A74" s="186"/>
      <c r="C74" s="201"/>
      <c r="D74" s="188"/>
      <c r="E74" s="189"/>
      <c r="F74" s="188"/>
      <c r="G74" s="189"/>
      <c r="H74" s="188"/>
      <c r="I74" s="189"/>
      <c r="J74" s="188"/>
      <c r="K74" s="189"/>
      <c r="L74" s="188"/>
      <c r="M74" s="189"/>
      <c r="N74" s="188"/>
      <c r="O74" s="189"/>
    </row>
    <row r="75" spans="1:16" s="195" customFormat="1" ht="15.75">
      <c r="A75" s="191">
        <f>'PLAN.C_SPCIP'!A65</f>
        <v>4</v>
      </c>
      <c r="B75" s="191">
        <f>'PLAN.C_SPCIP'!B65</f>
        <v>0</v>
      </c>
      <c r="C75" s="192">
        <f>SUM(C76:C78)</f>
        <v>1477.01</v>
      </c>
      <c r="D75" s="192">
        <f>SUM(D76:D78)</f>
        <v>0</v>
      </c>
      <c r="E75" s="193">
        <f>IF(D75=0,0,D75/$C75)</f>
        <v>0</v>
      </c>
      <c r="F75" s="192">
        <f>SUM(F76:F78)</f>
        <v>0</v>
      </c>
      <c r="G75" s="193">
        <f>IF(F75=0,0,F75/$C75)</f>
        <v>0</v>
      </c>
      <c r="H75" s="192">
        <f>SUM(H76:H78)</f>
        <v>0</v>
      </c>
      <c r="I75" s="193">
        <f>IF(H75=0,0,H75/$C75)</f>
        <v>0</v>
      </c>
      <c r="J75" s="192">
        <f>SUM(J76:J78)</f>
        <v>0</v>
      </c>
      <c r="K75" s="193">
        <f>IF(J75=0,0,J75/$C75)</f>
        <v>0</v>
      </c>
      <c r="L75" s="192">
        <f>SUM(L76:L78)</f>
        <v>0</v>
      </c>
      <c r="M75" s="193">
        <f>IF(L75=0,0,L75/$C75)</f>
        <v>0</v>
      </c>
      <c r="N75" s="192">
        <f>SUM(N76:N78)</f>
        <v>1477.01</v>
      </c>
      <c r="O75" s="193">
        <f>IF(N75=0,0,N75/$C75)</f>
        <v>1</v>
      </c>
      <c r="P75" s="194">
        <f aca="true" t="shared" si="57" ref="P75:P78">IF(C75=(D75+F75+H75+J75+L75+N75)," ","ERRO NO SOMATÓRIO")</f>
        <v>0</v>
      </c>
    </row>
    <row r="76" spans="1:16" s="187" customFormat="1" ht="15.75">
      <c r="A76" s="196">
        <f>'PLAN.C_SPCIP'!A66</f>
        <v>0</v>
      </c>
      <c r="B76" s="197">
        <f>'PLAN.C_SPCIP'!B66</f>
        <v>0</v>
      </c>
      <c r="C76" s="198">
        <f>'PLAN.C_SPCIP'!F66</f>
        <v>49.24</v>
      </c>
      <c r="D76" s="199"/>
      <c r="E76" s="200">
        <f aca="true" t="shared" si="58" ref="E76:E78">IF(D76&gt;0,D76/$C76," ")</f>
        <v>0</v>
      </c>
      <c r="F76" s="199"/>
      <c r="G76" s="200">
        <f aca="true" t="shared" si="59" ref="G76:G78">IF(F76&gt;0,F76/$C76," ")</f>
        <v>0</v>
      </c>
      <c r="H76" s="199"/>
      <c r="I76" s="200">
        <f aca="true" t="shared" si="60" ref="I76:I78">IF(H76&gt;0,H76/$C76," ")</f>
        <v>0</v>
      </c>
      <c r="J76" s="199"/>
      <c r="K76" s="200">
        <f aca="true" t="shared" si="61" ref="K76:K78">IF(J76&gt;0,J76/$C76," ")</f>
        <v>0</v>
      </c>
      <c r="L76" s="199"/>
      <c r="M76" s="200">
        <f aca="true" t="shared" si="62" ref="M76:M78">IF(L76&gt;0,L76/$C76," ")</f>
        <v>0</v>
      </c>
      <c r="N76" s="199">
        <f>'PLAN.C_SPCIP'!F66</f>
        <v>49.24</v>
      </c>
      <c r="O76" s="200">
        <f aca="true" t="shared" si="63" ref="O76:O78">IF(N76&gt;0,N76/$C76," ")</f>
        <v>1</v>
      </c>
      <c r="P76" s="194">
        <f t="shared" si="57"/>
        <v>0</v>
      </c>
    </row>
    <row r="77" spans="1:16" s="187" customFormat="1" ht="15.75">
      <c r="A77" s="196">
        <f>'PLAN.C_SPCIP'!A68</f>
        <v>0</v>
      </c>
      <c r="B77" s="197">
        <f>'PLAN.C_SPCIP'!B68</f>
        <v>0</v>
      </c>
      <c r="C77" s="198">
        <f>'PLAN.C_SPCIP'!F68</f>
        <v>558.86</v>
      </c>
      <c r="D77" s="207"/>
      <c r="E77" s="200">
        <f t="shared" si="58"/>
        <v>0</v>
      </c>
      <c r="F77" s="207"/>
      <c r="G77" s="200">
        <f t="shared" si="59"/>
        <v>0</v>
      </c>
      <c r="H77" s="207"/>
      <c r="I77" s="200">
        <f t="shared" si="60"/>
        <v>0</v>
      </c>
      <c r="J77" s="207"/>
      <c r="K77" s="200">
        <f t="shared" si="61"/>
        <v>0</v>
      </c>
      <c r="L77" s="207"/>
      <c r="M77" s="200">
        <f t="shared" si="62"/>
        <v>0</v>
      </c>
      <c r="N77" s="207">
        <f>'PLAN.C_SPCIP'!F68</f>
        <v>558.86</v>
      </c>
      <c r="O77" s="200">
        <f t="shared" si="63"/>
        <v>1</v>
      </c>
      <c r="P77" s="194">
        <f t="shared" si="57"/>
        <v>0</v>
      </c>
    </row>
    <row r="78" spans="1:16" s="187" customFormat="1" ht="15.75">
      <c r="A78" s="196">
        <f>'PLAN.C_SPCIP'!A70</f>
        <v>0</v>
      </c>
      <c r="B78" s="197">
        <f>'PLAN.C_SPCIP'!B70</f>
        <v>0</v>
      </c>
      <c r="C78" s="198">
        <f>'PLAN.C_SPCIP'!F70</f>
        <v>868.91</v>
      </c>
      <c r="D78" s="207"/>
      <c r="E78" s="200">
        <f t="shared" si="58"/>
        <v>0</v>
      </c>
      <c r="F78" s="207"/>
      <c r="G78" s="200">
        <f t="shared" si="59"/>
        <v>0</v>
      </c>
      <c r="H78" s="207"/>
      <c r="I78" s="200">
        <f t="shared" si="60"/>
        <v>0</v>
      </c>
      <c r="J78" s="207"/>
      <c r="K78" s="200">
        <f t="shared" si="61"/>
        <v>0</v>
      </c>
      <c r="L78" s="207"/>
      <c r="M78" s="200">
        <f t="shared" si="62"/>
        <v>0</v>
      </c>
      <c r="N78" s="207">
        <f>'PLAN.C_SPCIP'!F70</f>
        <v>868.91</v>
      </c>
      <c r="O78" s="200">
        <f t="shared" si="63"/>
        <v>1</v>
      </c>
      <c r="P78" s="194">
        <f t="shared" si="57"/>
        <v>0</v>
      </c>
    </row>
    <row r="79" spans="1:15" s="187" customFormat="1" ht="12.75">
      <c r="A79" s="186"/>
      <c r="C79" s="201"/>
      <c r="D79" s="188"/>
      <c r="E79" s="189"/>
      <c r="F79" s="188"/>
      <c r="G79" s="189"/>
      <c r="H79" s="188"/>
      <c r="I79" s="189"/>
      <c r="J79" s="188"/>
      <c r="K79" s="189"/>
      <c r="L79" s="188"/>
      <c r="M79" s="189"/>
      <c r="N79" s="188"/>
      <c r="O79" s="189"/>
    </row>
    <row r="80" spans="1:16" s="195" customFormat="1" ht="15.75">
      <c r="A80" s="191">
        <f>'PLAN.C_SPCIP'!A73</f>
        <v>5</v>
      </c>
      <c r="B80" s="191">
        <f>'PLAN.C_SPCIP'!B73</f>
        <v>0</v>
      </c>
      <c r="C80" s="192">
        <f>SUM(C81:C85)</f>
        <v>17827.67</v>
      </c>
      <c r="D80" s="192">
        <f>SUM(D81:D85)</f>
        <v>0</v>
      </c>
      <c r="E80" s="193">
        <f>IF(D80=0,0,D80/$C80)</f>
        <v>0</v>
      </c>
      <c r="F80" s="192">
        <f>SUM(F81:F85)</f>
        <v>0</v>
      </c>
      <c r="G80" s="193">
        <f>IF(F80=0,0,F80/$C80)</f>
        <v>0</v>
      </c>
      <c r="H80" s="192">
        <f>SUM(H81:H85)</f>
        <v>0</v>
      </c>
      <c r="I80" s="193">
        <f>IF(H80=0,0,H80/$C80)</f>
        <v>0</v>
      </c>
      <c r="J80" s="192">
        <f>SUM(J81:J85)</f>
        <v>0</v>
      </c>
      <c r="K80" s="193">
        <f>IF(J80=0,0,J80/$C80)</f>
        <v>0</v>
      </c>
      <c r="L80" s="192">
        <f>SUM(L81:L85)</f>
        <v>10264.380000000001</v>
      </c>
      <c r="M80" s="193">
        <f>IF(L80=0,0,L80/$C80)</f>
        <v>0.5757555530251571</v>
      </c>
      <c r="N80" s="192">
        <f>SUM(N81:N85)</f>
        <v>7563.289999999999</v>
      </c>
      <c r="O80" s="193">
        <f>IF(N80=0,0,N80/$C80)</f>
        <v>0.42424444697484304</v>
      </c>
      <c r="P80" s="194">
        <f aca="true" t="shared" si="64" ref="P80:P85">IF(C80=(D80+F80+H80+J80+L80+N80)," ","ERRO NO SOMATÓRIO")</f>
        <v>0</v>
      </c>
    </row>
    <row r="81" spans="1:16" s="187" customFormat="1" ht="15.75">
      <c r="A81" s="196">
        <f>'PLAN.C_SPCIP'!A74</f>
        <v>0</v>
      </c>
      <c r="B81" s="197">
        <f>'PLAN.C_SPCIP'!B74</f>
        <v>0</v>
      </c>
      <c r="C81" s="198">
        <f>'PLAN.C_SPCIP'!F74</f>
        <v>24.62</v>
      </c>
      <c r="D81" s="199"/>
      <c r="E81" s="200">
        <f aca="true" t="shared" si="65" ref="E81:E85">IF(D81&gt;0,D81/$C81," ")</f>
        <v>0</v>
      </c>
      <c r="F81" s="199"/>
      <c r="G81" s="200">
        <f aca="true" t="shared" si="66" ref="G81:G85">IF(F81&gt;0,F81/$C81," ")</f>
        <v>0</v>
      </c>
      <c r="H81" s="199"/>
      <c r="I81" s="200">
        <f aca="true" t="shared" si="67" ref="I81:I85">IF(H81&gt;0,H81/$C81," ")</f>
        <v>0</v>
      </c>
      <c r="J81" s="199"/>
      <c r="K81" s="200">
        <f aca="true" t="shared" si="68" ref="K81:K85">IF(J81&gt;0,J81/$C81," ")</f>
        <v>0</v>
      </c>
      <c r="L81" s="199"/>
      <c r="M81" s="200">
        <f aca="true" t="shared" si="69" ref="M81:M85">IF(L81&gt;0,L81/$C81," ")</f>
        <v>0</v>
      </c>
      <c r="N81" s="199">
        <f>'PLAN.C_SPCIP'!F74</f>
        <v>24.62</v>
      </c>
      <c r="O81" s="200">
        <f aca="true" t="shared" si="70" ref="O81:O85">IF(N81&gt;0,N81/$C81," ")</f>
        <v>1</v>
      </c>
      <c r="P81" s="194">
        <f t="shared" si="64"/>
        <v>0</v>
      </c>
    </row>
    <row r="82" spans="1:16" s="187" customFormat="1" ht="15.75">
      <c r="A82" s="196">
        <f>'PLAN.C_SPCIP'!A76</f>
        <v>0</v>
      </c>
      <c r="B82" s="197">
        <f>'PLAN.C_SPCIP'!B76</f>
        <v>0</v>
      </c>
      <c r="C82" s="198">
        <f>'PLAN.C_SPCIP'!F76</f>
        <v>10264.380000000001</v>
      </c>
      <c r="D82" s="207"/>
      <c r="E82" s="200">
        <f t="shared" si="65"/>
        <v>0</v>
      </c>
      <c r="F82" s="207"/>
      <c r="G82" s="200">
        <f t="shared" si="66"/>
        <v>0</v>
      </c>
      <c r="H82" s="207"/>
      <c r="I82" s="200">
        <f t="shared" si="67"/>
        <v>0</v>
      </c>
      <c r="J82" s="207"/>
      <c r="K82" s="200">
        <f t="shared" si="68"/>
        <v>0</v>
      </c>
      <c r="L82" s="207">
        <f>'PLAN.C_SPCIP'!F76</f>
        <v>10264.380000000001</v>
      </c>
      <c r="M82" s="200">
        <f t="shared" si="69"/>
        <v>1</v>
      </c>
      <c r="N82" s="207"/>
      <c r="O82" s="200">
        <f t="shared" si="70"/>
        <v>0</v>
      </c>
      <c r="P82" s="194">
        <f t="shared" si="64"/>
        <v>0</v>
      </c>
    </row>
    <row r="83" spans="1:16" s="187" customFormat="1" ht="15.75">
      <c r="A83" s="196">
        <f>'PLAN.C_SPCIP'!A88</f>
        <v>0</v>
      </c>
      <c r="B83" s="197">
        <f>'PLAN.C_SPCIP'!B88</f>
        <v>0</v>
      </c>
      <c r="C83" s="198">
        <f>'PLAN.C_SPCIP'!F88</f>
        <v>598.1600000000001</v>
      </c>
      <c r="D83" s="207"/>
      <c r="E83" s="200">
        <f t="shared" si="65"/>
        <v>0</v>
      </c>
      <c r="F83" s="207"/>
      <c r="G83" s="200">
        <f t="shared" si="66"/>
        <v>0</v>
      </c>
      <c r="H83" s="207"/>
      <c r="I83" s="200">
        <f t="shared" si="67"/>
        <v>0</v>
      </c>
      <c r="J83" s="207"/>
      <c r="K83" s="200">
        <f t="shared" si="68"/>
        <v>0</v>
      </c>
      <c r="L83" s="207"/>
      <c r="M83" s="200">
        <f t="shared" si="69"/>
        <v>0</v>
      </c>
      <c r="N83" s="207">
        <f>'PLAN.C_SPCIP'!F88</f>
        <v>598.1600000000001</v>
      </c>
      <c r="O83" s="200">
        <f t="shared" si="70"/>
        <v>1</v>
      </c>
      <c r="P83" s="194">
        <f t="shared" si="64"/>
        <v>0</v>
      </c>
    </row>
    <row r="84" spans="1:16" s="187" customFormat="1" ht="15.75">
      <c r="A84" s="196">
        <f>'PLAN.C_SPCIP'!A91</f>
        <v>0</v>
      </c>
      <c r="B84" s="197">
        <f>'PLAN.C_SPCIP'!B91</f>
        <v>0</v>
      </c>
      <c r="C84" s="198">
        <f>'PLAN.C_SPCIP'!F91</f>
        <v>38.13</v>
      </c>
      <c r="D84" s="207"/>
      <c r="E84" s="200">
        <f t="shared" si="65"/>
        <v>0</v>
      </c>
      <c r="F84" s="207"/>
      <c r="G84" s="200">
        <f t="shared" si="66"/>
        <v>0</v>
      </c>
      <c r="H84" s="207"/>
      <c r="I84" s="200">
        <f t="shared" si="67"/>
        <v>0</v>
      </c>
      <c r="J84" s="207"/>
      <c r="K84" s="200">
        <f t="shared" si="68"/>
        <v>0</v>
      </c>
      <c r="L84" s="207"/>
      <c r="M84" s="200">
        <f t="shared" si="69"/>
        <v>0</v>
      </c>
      <c r="N84" s="207">
        <f>'PLAN.C_SPCIP'!F91</f>
        <v>38.13</v>
      </c>
      <c r="O84" s="200">
        <f t="shared" si="70"/>
        <v>1</v>
      </c>
      <c r="P84" s="194">
        <f t="shared" si="64"/>
        <v>0</v>
      </c>
    </row>
    <row r="85" spans="1:16" s="187" customFormat="1" ht="15.75">
      <c r="A85" s="196">
        <f>'PLAN.C_SPCIP'!A93</f>
        <v>0</v>
      </c>
      <c r="B85" s="197">
        <f>'PLAN.C_SPCIP'!B93</f>
        <v>0</v>
      </c>
      <c r="C85" s="198">
        <f>'PLAN.C_SPCIP'!F93</f>
        <v>6902.379999999999</v>
      </c>
      <c r="D85" s="207"/>
      <c r="E85" s="200">
        <f t="shared" si="65"/>
        <v>0</v>
      </c>
      <c r="F85" s="207"/>
      <c r="G85" s="200">
        <f t="shared" si="66"/>
        <v>0</v>
      </c>
      <c r="H85" s="207"/>
      <c r="I85" s="200">
        <f t="shared" si="67"/>
        <v>0</v>
      </c>
      <c r="J85" s="207"/>
      <c r="K85" s="200">
        <f t="shared" si="68"/>
        <v>0</v>
      </c>
      <c r="L85" s="207"/>
      <c r="M85" s="200">
        <f t="shared" si="69"/>
        <v>0</v>
      </c>
      <c r="N85" s="207">
        <f>'PLAN.C_SPCIP'!F93</f>
        <v>6902.379999999999</v>
      </c>
      <c r="O85" s="200">
        <f t="shared" si="70"/>
        <v>1</v>
      </c>
      <c r="P85" s="194">
        <f t="shared" si="64"/>
        <v>0</v>
      </c>
    </row>
    <row r="86" spans="1:15" s="187" customFormat="1" ht="12.75">
      <c r="A86" s="186"/>
      <c r="C86" s="201"/>
      <c r="D86" s="188"/>
      <c r="E86" s="189"/>
      <c r="F86" s="188"/>
      <c r="G86" s="189"/>
      <c r="H86" s="188"/>
      <c r="I86" s="189"/>
      <c r="J86" s="188"/>
      <c r="K86" s="189"/>
      <c r="L86" s="188"/>
      <c r="M86" s="189"/>
      <c r="N86" s="188"/>
      <c r="O86" s="189"/>
    </row>
    <row r="87" spans="1:16" s="195" customFormat="1" ht="15.75">
      <c r="A87" s="191">
        <f>'PLAN.C_SPCIP'!A100</f>
        <v>6</v>
      </c>
      <c r="B87" s="191">
        <f>'PLAN.C_SPCIP'!B100</f>
        <v>0</v>
      </c>
      <c r="C87" s="192">
        <f>SUM(C88:C90)</f>
        <v>830.08</v>
      </c>
      <c r="D87" s="192">
        <f>SUM(D88:D90)</f>
        <v>0</v>
      </c>
      <c r="E87" s="193">
        <f>IF(D87=0,0,D87/$C87)</f>
        <v>0</v>
      </c>
      <c r="F87" s="192">
        <f>SUM(F88:F90)</f>
        <v>0</v>
      </c>
      <c r="G87" s="193">
        <f>IF(F87=0,0,F87/$C87)</f>
        <v>0</v>
      </c>
      <c r="H87" s="192">
        <f>SUM(H88:H90)</f>
        <v>0</v>
      </c>
      <c r="I87" s="193">
        <f>IF(H87=0,0,H87/$C87)</f>
        <v>0</v>
      </c>
      <c r="J87" s="192">
        <f>SUM(J88:J90)</f>
        <v>0</v>
      </c>
      <c r="K87" s="193">
        <f>IF(J87=0,0,J87/$C87)</f>
        <v>0</v>
      </c>
      <c r="L87" s="192">
        <f>SUM(L88:L90)</f>
        <v>0</v>
      </c>
      <c r="M87" s="193">
        <f>IF(L87=0,0,L87/$C87)</f>
        <v>0</v>
      </c>
      <c r="N87" s="192">
        <f>SUM(N88:N90)</f>
        <v>830.08</v>
      </c>
      <c r="O87" s="193">
        <f>IF(N87=0,0,N87/$C87)</f>
        <v>1</v>
      </c>
      <c r="P87" s="194">
        <f aca="true" t="shared" si="71" ref="P87:P90">IF(C87=(D87+F87+H87+J87+L87+N87)," ","ERRO NO SOMATÓRIO")</f>
        <v>0</v>
      </c>
    </row>
    <row r="88" spans="1:16" s="187" customFormat="1" ht="15.75">
      <c r="A88" s="196">
        <f>'PLAN.C_SPCIP'!A101</f>
        <v>0</v>
      </c>
      <c r="B88" s="197">
        <f>'PLAN.C_SPCIP'!B101</f>
        <v>0</v>
      </c>
      <c r="C88" s="198">
        <f>'PLAN.C_SPCIP'!F101</f>
        <v>194.96</v>
      </c>
      <c r="D88" s="199"/>
      <c r="E88" s="200">
        <f aca="true" t="shared" si="72" ref="E88:E90">IF(D88&gt;0,D88/$C88," ")</f>
        <v>0</v>
      </c>
      <c r="F88" s="199"/>
      <c r="G88" s="200">
        <f aca="true" t="shared" si="73" ref="G88:G90">IF(F88&gt;0,F88/$C88," ")</f>
        <v>0</v>
      </c>
      <c r="H88" s="199"/>
      <c r="I88" s="200">
        <f aca="true" t="shared" si="74" ref="I88:I90">IF(H88&gt;0,H88/$C88," ")</f>
        <v>0</v>
      </c>
      <c r="J88" s="199"/>
      <c r="K88" s="200">
        <f aca="true" t="shared" si="75" ref="K88:K90">IF(J88&gt;0,J88/$C88," ")</f>
        <v>0</v>
      </c>
      <c r="L88" s="199"/>
      <c r="M88" s="200">
        <f aca="true" t="shared" si="76" ref="M88:M90">IF(L88&gt;0,L88/$C88," ")</f>
        <v>0</v>
      </c>
      <c r="N88" s="199">
        <f>'PLAN.C_SPCIP'!F101</f>
        <v>194.96</v>
      </c>
      <c r="O88" s="200">
        <f aca="true" t="shared" si="77" ref="O88:O90">IF(N88&gt;0,N88/$C88," ")</f>
        <v>1</v>
      </c>
      <c r="P88" s="194">
        <f t="shared" si="71"/>
        <v>0</v>
      </c>
    </row>
    <row r="89" spans="1:16" s="187" customFormat="1" ht="15.75">
      <c r="A89" s="196">
        <f>'PLAN.C_SPCIP'!A106</f>
        <v>0</v>
      </c>
      <c r="B89" s="197">
        <f>'PLAN.C_SPCIP'!B106</f>
        <v>0</v>
      </c>
      <c r="C89" s="198">
        <f>'PLAN.C_SPCIP'!F106</f>
        <v>558.86</v>
      </c>
      <c r="D89" s="207"/>
      <c r="E89" s="200">
        <f t="shared" si="72"/>
        <v>0</v>
      </c>
      <c r="F89" s="207"/>
      <c r="G89" s="200">
        <f t="shared" si="73"/>
        <v>0</v>
      </c>
      <c r="H89" s="207"/>
      <c r="I89" s="200">
        <f t="shared" si="74"/>
        <v>0</v>
      </c>
      <c r="J89" s="207"/>
      <c r="K89" s="200">
        <f t="shared" si="75"/>
        <v>0</v>
      </c>
      <c r="L89" s="207"/>
      <c r="M89" s="200">
        <f t="shared" si="76"/>
        <v>0</v>
      </c>
      <c r="N89" s="207">
        <f>'PLAN.C_SPCIP'!F106</f>
        <v>558.86</v>
      </c>
      <c r="O89" s="200">
        <f t="shared" si="77"/>
        <v>1</v>
      </c>
      <c r="P89" s="194">
        <f t="shared" si="71"/>
        <v>0</v>
      </c>
    </row>
    <row r="90" spans="1:16" s="187" customFormat="1" ht="15.75">
      <c r="A90" s="196">
        <f>'PLAN.C_SPCIP'!A108</f>
        <v>0</v>
      </c>
      <c r="B90" s="197">
        <f>'PLAN.C_SPCIP'!B108</f>
        <v>0</v>
      </c>
      <c r="C90" s="198">
        <f>'PLAN.C_SPCIP'!F108</f>
        <v>76.26</v>
      </c>
      <c r="D90" s="207"/>
      <c r="E90" s="200">
        <f t="shared" si="72"/>
        <v>0</v>
      </c>
      <c r="F90" s="207"/>
      <c r="G90" s="200">
        <f t="shared" si="73"/>
        <v>0</v>
      </c>
      <c r="H90" s="207"/>
      <c r="I90" s="200">
        <f t="shared" si="74"/>
        <v>0</v>
      </c>
      <c r="J90" s="207"/>
      <c r="K90" s="200">
        <f t="shared" si="75"/>
        <v>0</v>
      </c>
      <c r="L90" s="207"/>
      <c r="M90" s="200">
        <f t="shared" si="76"/>
        <v>0</v>
      </c>
      <c r="N90" s="207">
        <f>'PLAN.C_SPCIP'!F108</f>
        <v>76.26</v>
      </c>
      <c r="O90" s="200">
        <f t="shared" si="77"/>
        <v>1</v>
      </c>
      <c r="P90" s="194">
        <f t="shared" si="71"/>
        <v>0</v>
      </c>
    </row>
    <row r="91" spans="1:15" s="187" customFormat="1" ht="12.75">
      <c r="A91" s="186"/>
      <c r="C91" s="201"/>
      <c r="D91" s="188"/>
      <c r="E91" s="189"/>
      <c r="F91" s="188"/>
      <c r="G91" s="189"/>
      <c r="H91" s="188"/>
      <c r="I91" s="189"/>
      <c r="J91" s="188"/>
      <c r="K91" s="189"/>
      <c r="L91" s="188"/>
      <c r="M91" s="189"/>
      <c r="N91" s="188"/>
      <c r="O91" s="189"/>
    </row>
    <row r="92" spans="1:16" s="195" customFormat="1" ht="15.75">
      <c r="A92" s="191">
        <f>'PLAN.C_SPCIP'!A110</f>
        <v>7</v>
      </c>
      <c r="B92" s="191">
        <f>'PLAN.C_SPCIP'!B110</f>
        <v>0</v>
      </c>
      <c r="C92" s="192">
        <f>SUM(C93:C95)</f>
        <v>13924.69</v>
      </c>
      <c r="D92" s="192">
        <f>SUM(D93:D95)</f>
        <v>0</v>
      </c>
      <c r="E92" s="193">
        <f>IF(D92=0,0,D92/$C92)</f>
        <v>0</v>
      </c>
      <c r="F92" s="192">
        <f>SUM(F93:F95)</f>
        <v>0</v>
      </c>
      <c r="G92" s="193">
        <f>IF(F92=0,0,F92/$C92)</f>
        <v>0</v>
      </c>
      <c r="H92" s="192">
        <f>SUM(H93:H95)</f>
        <v>0</v>
      </c>
      <c r="I92" s="193">
        <f>IF(H92=0,0,H92/$C92)</f>
        <v>0</v>
      </c>
      <c r="J92" s="192">
        <f>SUM(J93:J95)</f>
        <v>0</v>
      </c>
      <c r="K92" s="193">
        <f>IF(J92=0,0,J92/$C92)</f>
        <v>0</v>
      </c>
      <c r="L92" s="192">
        <f>SUM(L93:L95)</f>
        <v>13924.69</v>
      </c>
      <c r="M92" s="193">
        <f>IF(L92=0,0,L92/$C92)</f>
        <v>1</v>
      </c>
      <c r="N92" s="192">
        <f>SUM(N93:N95)</f>
        <v>0</v>
      </c>
      <c r="O92" s="193">
        <f>IF(N92=0,0,N92/$C92)</f>
        <v>0</v>
      </c>
      <c r="P92" s="194">
        <f aca="true" t="shared" si="78" ref="P92:P95">IF(C92=(D92+F92+H92+J92+L92+N92)," ","ERRO NO SOMATÓRIO")</f>
        <v>0</v>
      </c>
    </row>
    <row r="93" spans="1:16" s="187" customFormat="1" ht="15.75">
      <c r="A93" s="196">
        <f>'PLAN.C_SPCIP'!A111</f>
        <v>0</v>
      </c>
      <c r="B93" s="197">
        <f>'PLAN.C_SPCIP'!B111</f>
        <v>0</v>
      </c>
      <c r="C93" s="198">
        <f>'PLAN.C_SPCIP'!F111</f>
        <v>8484.36</v>
      </c>
      <c r="D93" s="199"/>
      <c r="E93" s="200">
        <f aca="true" t="shared" si="79" ref="E93:E95">IF(D93&gt;0,D93/$C93," ")</f>
        <v>0</v>
      </c>
      <c r="F93" s="199"/>
      <c r="G93" s="200">
        <f aca="true" t="shared" si="80" ref="G93:G95">IF(F93&gt;0,F93/$C93," ")</f>
        <v>0</v>
      </c>
      <c r="H93" s="199"/>
      <c r="I93" s="200">
        <f aca="true" t="shared" si="81" ref="I93:I95">IF(H93&gt;0,H93/$C93," ")</f>
        <v>0</v>
      </c>
      <c r="J93" s="199"/>
      <c r="K93" s="200">
        <f aca="true" t="shared" si="82" ref="K93:K95">IF(J93&gt;0,J93/$C93," ")</f>
        <v>0</v>
      </c>
      <c r="L93" s="199">
        <f>'PLAN.C_SPCIP'!F111</f>
        <v>8484.36</v>
      </c>
      <c r="M93" s="200">
        <f aca="true" t="shared" si="83" ref="M93:M95">IF(L93&gt;0,L93/$C93," ")</f>
        <v>1</v>
      </c>
      <c r="N93" s="199"/>
      <c r="O93" s="200">
        <f aca="true" t="shared" si="84" ref="O93:O95">IF(N93&gt;0,N93/$C93," ")</f>
        <v>0</v>
      </c>
      <c r="P93" s="194">
        <f t="shared" si="78"/>
        <v>0</v>
      </c>
    </row>
    <row r="94" spans="1:16" s="187" customFormat="1" ht="25.5">
      <c r="A94" s="196">
        <f>'PLAN.C_SPCIP'!A122</f>
        <v>0</v>
      </c>
      <c r="B94" s="197">
        <f>'PLAN.C_SPCIP'!B122</f>
        <v>0</v>
      </c>
      <c r="C94" s="198">
        <f>'PLAN.C_SPCIP'!F122</f>
        <v>764.91</v>
      </c>
      <c r="D94" s="207"/>
      <c r="E94" s="200">
        <f t="shared" si="79"/>
        <v>0</v>
      </c>
      <c r="F94" s="207"/>
      <c r="G94" s="200">
        <f t="shared" si="80"/>
        <v>0</v>
      </c>
      <c r="H94" s="207"/>
      <c r="I94" s="200">
        <f t="shared" si="81"/>
        <v>0</v>
      </c>
      <c r="J94" s="207"/>
      <c r="K94" s="200">
        <f t="shared" si="82"/>
        <v>0</v>
      </c>
      <c r="L94" s="207">
        <f>'PLAN.C_SPCIP'!F122</f>
        <v>764.91</v>
      </c>
      <c r="M94" s="200">
        <f t="shared" si="83"/>
        <v>1</v>
      </c>
      <c r="N94" s="207"/>
      <c r="O94" s="200">
        <f t="shared" si="84"/>
        <v>0</v>
      </c>
      <c r="P94" s="194">
        <f t="shared" si="78"/>
        <v>0</v>
      </c>
    </row>
    <row r="95" spans="1:16" s="187" customFormat="1" ht="15.75">
      <c r="A95" s="196">
        <f>'PLAN.C_SPCIP'!A124</f>
        <v>0</v>
      </c>
      <c r="B95" s="197">
        <f>'PLAN.C_SPCIP'!B124</f>
        <v>0</v>
      </c>
      <c r="C95" s="198">
        <f>'PLAN.C_SPCIP'!F124</f>
        <v>4675.42</v>
      </c>
      <c r="D95" s="207"/>
      <c r="E95" s="200">
        <f t="shared" si="79"/>
        <v>0</v>
      </c>
      <c r="F95" s="207"/>
      <c r="G95" s="200">
        <f t="shared" si="80"/>
        <v>0</v>
      </c>
      <c r="H95" s="207"/>
      <c r="I95" s="200">
        <f t="shared" si="81"/>
        <v>0</v>
      </c>
      <c r="J95" s="207"/>
      <c r="K95" s="200">
        <f t="shared" si="82"/>
        <v>0</v>
      </c>
      <c r="L95" s="207">
        <f>'PLAN.C_SPCIP'!F124</f>
        <v>4675.42</v>
      </c>
      <c r="M95" s="200">
        <f t="shared" si="83"/>
        <v>1</v>
      </c>
      <c r="N95" s="207"/>
      <c r="O95" s="200">
        <f t="shared" si="84"/>
        <v>0</v>
      </c>
      <c r="P95" s="194">
        <f t="shared" si="78"/>
        <v>0</v>
      </c>
    </row>
    <row r="96" spans="1:15" s="187" customFormat="1" ht="12.75">
      <c r="A96" s="186"/>
      <c r="C96" s="201"/>
      <c r="D96" s="188"/>
      <c r="E96" s="189"/>
      <c r="F96" s="188"/>
      <c r="G96" s="189"/>
      <c r="H96" s="188"/>
      <c r="I96" s="189"/>
      <c r="J96" s="188"/>
      <c r="K96" s="189"/>
      <c r="L96" s="188"/>
      <c r="M96" s="189"/>
      <c r="N96" s="188"/>
      <c r="O96" s="189"/>
    </row>
    <row r="97" spans="1:16" s="195" customFormat="1" ht="15.75">
      <c r="A97" s="191">
        <f>'PLAN.C_SPCIP'!A131</f>
        <v>8</v>
      </c>
      <c r="B97" s="191">
        <f>'PLAN.C_SPCIP'!B131</f>
        <v>0</v>
      </c>
      <c r="C97" s="192">
        <f>SUM(C98:C100)</f>
        <v>24498.14</v>
      </c>
      <c r="D97" s="192">
        <f>SUM(D98:D100)</f>
        <v>0</v>
      </c>
      <c r="E97" s="193">
        <f>IF(D97=0,0,D97/$C97)</f>
        <v>0</v>
      </c>
      <c r="F97" s="192">
        <f>SUM(F98:F100)</f>
        <v>0</v>
      </c>
      <c r="G97" s="193">
        <f>IF(F97=0,0,F97/$C97)</f>
        <v>0</v>
      </c>
      <c r="H97" s="192">
        <f>SUM(H98:H100)</f>
        <v>4061.66</v>
      </c>
      <c r="I97" s="193">
        <f>IF(H97=0,0,H97/$C97)</f>
        <v>0.16579462767377443</v>
      </c>
      <c r="J97" s="192">
        <f>SUM(J98:J100)</f>
        <v>19426.35</v>
      </c>
      <c r="K97" s="193">
        <f>IF(J97=0,0,J97/$C97)</f>
        <v>0.792972446071416</v>
      </c>
      <c r="L97" s="192">
        <f>SUM(L98:L100)</f>
        <v>1010.13</v>
      </c>
      <c r="M97" s="193">
        <f>IF(L97=0,0,L97/$C97)</f>
        <v>0.04123292625480955</v>
      </c>
      <c r="N97" s="192">
        <f>SUM(N98:N100)</f>
        <v>0</v>
      </c>
      <c r="O97" s="193">
        <f>IF(N97=0,0,N97/$C97)</f>
        <v>0</v>
      </c>
      <c r="P97" s="194">
        <f aca="true" t="shared" si="85" ref="P97:P100">IF(C97=(D97+F97+H97+J97+L97+N97)," ","ERRO NO SOMATÓRIO")</f>
        <v>0</v>
      </c>
    </row>
    <row r="98" spans="1:16" s="187" customFormat="1" ht="15.75">
      <c r="A98" s="196">
        <f>'PLAN.C_SPCIP'!A132</f>
        <v>0</v>
      </c>
      <c r="B98" s="197">
        <f>'PLAN.C_SPCIP'!B132</f>
        <v>0</v>
      </c>
      <c r="C98" s="198">
        <f>'PLAN.C_SPCIP'!F132</f>
        <v>4061.66</v>
      </c>
      <c r="D98" s="199"/>
      <c r="E98" s="200">
        <f aca="true" t="shared" si="86" ref="E98:E100">IF(D98&gt;0,D98/$C98," ")</f>
        <v>0</v>
      </c>
      <c r="F98" s="199"/>
      <c r="G98" s="200">
        <f aca="true" t="shared" si="87" ref="G98:G100">IF(F98&gt;0,F98/$C98," ")</f>
        <v>0</v>
      </c>
      <c r="H98" s="199">
        <f>'PLAN.C_SPCIP'!F132</f>
        <v>4061.66</v>
      </c>
      <c r="I98" s="200">
        <f aca="true" t="shared" si="88" ref="I98:I100">IF(H98&gt;0,H98/$C98," ")</f>
        <v>1</v>
      </c>
      <c r="J98" s="199"/>
      <c r="K98" s="200">
        <f aca="true" t="shared" si="89" ref="K98:K100">IF(J98&gt;0,J98/$C98," ")</f>
        <v>0</v>
      </c>
      <c r="L98" s="199"/>
      <c r="M98" s="200">
        <f aca="true" t="shared" si="90" ref="M98:M100">IF(L98&gt;0,L98/$C98," ")</f>
        <v>0</v>
      </c>
      <c r="N98" s="199"/>
      <c r="O98" s="200">
        <f aca="true" t="shared" si="91" ref="O98:O100">IF(N98&gt;0,N98/$C98," ")</f>
        <v>0</v>
      </c>
      <c r="P98" s="194">
        <f t="shared" si="85"/>
        <v>0</v>
      </c>
    </row>
    <row r="99" spans="1:16" s="187" customFormat="1" ht="15.75">
      <c r="A99" s="196">
        <f>'PLAN.C_SPCIP'!A141</f>
        <v>0</v>
      </c>
      <c r="B99" s="197">
        <f>'PLAN.C_SPCIP'!B141</f>
        <v>0</v>
      </c>
      <c r="C99" s="198">
        <f>'PLAN.C_SPCIP'!F141</f>
        <v>19426.35</v>
      </c>
      <c r="D99" s="207"/>
      <c r="E99" s="200">
        <f t="shared" si="86"/>
        <v>0</v>
      </c>
      <c r="F99" s="207"/>
      <c r="G99" s="200">
        <f t="shared" si="87"/>
        <v>0</v>
      </c>
      <c r="H99" s="207"/>
      <c r="I99" s="200">
        <f t="shared" si="88"/>
        <v>0</v>
      </c>
      <c r="J99" s="207">
        <f>'PLAN.C_SPCIP'!F141</f>
        <v>19426.35</v>
      </c>
      <c r="K99" s="200">
        <f t="shared" si="89"/>
        <v>1</v>
      </c>
      <c r="L99" s="207"/>
      <c r="M99" s="200">
        <f t="shared" si="90"/>
        <v>0</v>
      </c>
      <c r="N99" s="207"/>
      <c r="O99" s="200">
        <f t="shared" si="91"/>
        <v>0</v>
      </c>
      <c r="P99" s="194">
        <f t="shared" si="85"/>
        <v>0</v>
      </c>
    </row>
    <row r="100" spans="1:16" s="187" customFormat="1" ht="15.75">
      <c r="A100" s="196">
        <f>'PLAN.C_SPCIP'!A147</f>
        <v>0</v>
      </c>
      <c r="B100" s="197">
        <f>'PLAN.C_SPCIP'!B147</f>
        <v>0</v>
      </c>
      <c r="C100" s="198">
        <f>'PLAN.C_SPCIP'!F147</f>
        <v>1010.13</v>
      </c>
      <c r="D100" s="207"/>
      <c r="E100" s="200">
        <f t="shared" si="86"/>
        <v>0</v>
      </c>
      <c r="F100" s="207"/>
      <c r="G100" s="200">
        <f t="shared" si="87"/>
        <v>0</v>
      </c>
      <c r="H100" s="207"/>
      <c r="I100" s="200">
        <f t="shared" si="88"/>
        <v>0</v>
      </c>
      <c r="J100" s="207"/>
      <c r="K100" s="200">
        <f t="shared" si="89"/>
        <v>0</v>
      </c>
      <c r="L100" s="207">
        <f>'PLAN.C_SPCIP'!F147</f>
        <v>1010.13</v>
      </c>
      <c r="M100" s="200">
        <f t="shared" si="90"/>
        <v>1</v>
      </c>
      <c r="N100" s="207"/>
      <c r="O100" s="200">
        <f t="shared" si="91"/>
        <v>0</v>
      </c>
      <c r="P100" s="194">
        <f t="shared" si="85"/>
        <v>0</v>
      </c>
    </row>
    <row r="101" spans="1:15" s="187" customFormat="1" ht="12.75">
      <c r="A101" s="186"/>
      <c r="C101" s="201"/>
      <c r="D101" s="188"/>
      <c r="E101" s="189"/>
      <c r="F101" s="188"/>
      <c r="G101" s="189"/>
      <c r="H101" s="188"/>
      <c r="I101" s="189"/>
      <c r="J101" s="188"/>
      <c r="K101" s="189"/>
      <c r="L101" s="188"/>
      <c r="M101" s="189"/>
      <c r="N101" s="188"/>
      <c r="O101" s="189"/>
    </row>
    <row r="102" spans="1:16" s="195" customFormat="1" ht="15.75">
      <c r="A102" s="191">
        <f>'PLAN.C_SPCIP'!A153</f>
        <v>9</v>
      </c>
      <c r="B102" s="191">
        <f>'PLAN.C_SPCIP'!B153</f>
        <v>0</v>
      </c>
      <c r="C102" s="192">
        <f>SUM(C103:C103)</f>
        <v>1676.05</v>
      </c>
      <c r="D102" s="192">
        <f>SUM(D103:D103)</f>
        <v>0</v>
      </c>
      <c r="E102" s="193">
        <f>IF(D102=0,0,D102/$C102)</f>
        <v>0</v>
      </c>
      <c r="F102" s="192">
        <f>SUM(F103:F103)</f>
        <v>0</v>
      </c>
      <c r="G102" s="193">
        <f>IF(F102=0,0,F102/$C102)</f>
        <v>0</v>
      </c>
      <c r="H102" s="192">
        <f>SUM(H103:H103)</f>
        <v>0</v>
      </c>
      <c r="I102" s="193">
        <f>IF(H102=0,0,H102/$C102)</f>
        <v>0</v>
      </c>
      <c r="J102" s="192">
        <f>SUM(J103:J103)</f>
        <v>0</v>
      </c>
      <c r="K102" s="193">
        <f>IF(J102=0,0,J102/$C102)</f>
        <v>0</v>
      </c>
      <c r="L102" s="192">
        <f>SUM(L103:L103)</f>
        <v>0</v>
      </c>
      <c r="M102" s="193">
        <f>IF(L102=0,0,L102/$C102)</f>
        <v>0</v>
      </c>
      <c r="N102" s="192">
        <f>SUM(N103:N103)</f>
        <v>1676.05</v>
      </c>
      <c r="O102" s="193">
        <f>IF(N102=0,0,N102/$C102)</f>
        <v>1</v>
      </c>
      <c r="P102" s="194">
        <f aca="true" t="shared" si="92" ref="P102:P103">IF(C102=(D102+F102+H102+J102+L102+N102)," ","ERRO NO SOMATÓRIO")</f>
        <v>0</v>
      </c>
    </row>
    <row r="103" spans="1:16" s="187" customFormat="1" ht="15.75">
      <c r="A103" s="196">
        <f>'PLAN.C_SPCIP'!A154</f>
        <v>0</v>
      </c>
      <c r="B103" s="197">
        <f>'PLAN.C_SPCIP'!B154</f>
        <v>0</v>
      </c>
      <c r="C103" s="198">
        <f>'PLAN.C_SPCIP'!F154</f>
        <v>1676.05</v>
      </c>
      <c r="D103" s="199"/>
      <c r="E103" s="200">
        <f>IF(D103&gt;0,D103/$C103," ")</f>
        <v>0</v>
      </c>
      <c r="F103" s="199"/>
      <c r="G103" s="200">
        <f>IF(F103&gt;0,F103/$C103," ")</f>
        <v>0</v>
      </c>
      <c r="H103" s="199"/>
      <c r="I103" s="200">
        <f>IF(H103&gt;0,H103/$C103," ")</f>
        <v>0</v>
      </c>
      <c r="J103" s="199"/>
      <c r="K103" s="200">
        <f>IF(J103&gt;0,J103/$C103," ")</f>
        <v>0</v>
      </c>
      <c r="L103" s="199"/>
      <c r="M103" s="200">
        <f>IF(L103&gt;0,L103/$C103," ")</f>
        <v>0</v>
      </c>
      <c r="N103" s="199">
        <f>'PLAN.C_SPCIP'!F154</f>
        <v>1676.05</v>
      </c>
      <c r="O103" s="200">
        <f>IF(N103&gt;0,N103/$C103," ")</f>
        <v>1</v>
      </c>
      <c r="P103" s="194">
        <f t="shared" si="92"/>
        <v>0</v>
      </c>
    </row>
    <row r="104" spans="1:15" s="187" customFormat="1" ht="12.75">
      <c r="A104" s="186"/>
      <c r="C104" s="201"/>
      <c r="D104" s="188"/>
      <c r="E104" s="189"/>
      <c r="F104" s="188"/>
      <c r="G104" s="189"/>
      <c r="H104" s="188"/>
      <c r="I104" s="189"/>
      <c r="J104" s="188"/>
      <c r="K104" s="189"/>
      <c r="L104" s="188"/>
      <c r="M104" s="189"/>
      <c r="N104" s="188"/>
      <c r="O104" s="189"/>
    </row>
    <row r="105" spans="1:16" s="187" customFormat="1" ht="15.75">
      <c r="A105" s="186"/>
      <c r="B105" s="202" t="s">
        <v>694</v>
      </c>
      <c r="C105" s="203">
        <f>C57+C64+C71+C75+C80+C87+C92+C97+C102</f>
        <v>93255.25</v>
      </c>
      <c r="D105" s="203">
        <f>D57+D64+D71+D75+D80+D87+D92+D97+D102</f>
        <v>0</v>
      </c>
      <c r="E105" s="193">
        <f>IF(D105=0,0,D105/$C105)</f>
        <v>0</v>
      </c>
      <c r="F105" s="203">
        <f>F57+F64+F71+F75+F80+F87+F92+F97+F102</f>
        <v>0</v>
      </c>
      <c r="G105" s="193">
        <f>IF(F105=0,0,F105/$C105)</f>
        <v>0</v>
      </c>
      <c r="H105" s="203">
        <f>H57+H64+H71+H75+H80+H87+H92+H97+H102</f>
        <v>4061.66</v>
      </c>
      <c r="I105" s="193">
        <f>IF(H105=0,0,H105/$C105)</f>
        <v>0.043554223488758</v>
      </c>
      <c r="J105" s="203">
        <f>J57+J64+J71+J75+J80+J87+J92+J97+J102</f>
        <v>19426.35</v>
      </c>
      <c r="K105" s="193">
        <f>IF(J105=0,0,J105/$C105)</f>
        <v>0.2083137410494315</v>
      </c>
      <c r="L105" s="203">
        <f>L57+L64+L71+L75+L80+L87+L92+L97+L102</f>
        <v>44151.33</v>
      </c>
      <c r="M105" s="193">
        <f>IF(L105=0,0,L105/$C105)</f>
        <v>0.47344605263510636</v>
      </c>
      <c r="N105" s="203">
        <f>N57+N64+N71+N75+N80+N87+N92+N97+N102</f>
        <v>25615.91</v>
      </c>
      <c r="O105" s="193">
        <f>IF(N105=0,0,N105/$C105)</f>
        <v>0.27468598282670414</v>
      </c>
      <c r="P105" s="194">
        <f>IF(C105=(D105+F105+H105+J105+L105+N105)," ","ERRO NO SOMATÓRIO")</f>
        <v>0</v>
      </c>
    </row>
    <row r="106" ht="12.75">
      <c r="C106" s="204">
        <f>IF(C105='PLAN.C_SPCIP'!F157," ","ERRO NO SOMATÓRIO")</f>
        <v>0</v>
      </c>
    </row>
    <row r="107" spans="1:15" s="187" customFormat="1" ht="18">
      <c r="A107" s="186"/>
      <c r="B107" s="205"/>
      <c r="D107" s="188"/>
      <c r="E107" s="189"/>
      <c r="F107" s="188"/>
      <c r="G107" s="189"/>
      <c r="H107" s="188"/>
      <c r="I107" s="189"/>
      <c r="J107" s="188"/>
      <c r="K107" s="189"/>
      <c r="L107" s="188"/>
      <c r="M107" s="189"/>
      <c r="N107" s="188"/>
      <c r="O107" s="189"/>
    </row>
    <row r="108" spans="1:15" s="187" customFormat="1" ht="18">
      <c r="A108" s="186"/>
      <c r="B108" s="190">
        <f>'PLAN.D_Serv. Comp.'!A8</f>
        <v>0</v>
      </c>
      <c r="C108" s="190"/>
      <c r="D108" s="190"/>
      <c r="E108" s="190"/>
      <c r="F108" s="190"/>
      <c r="G108" s="190"/>
      <c r="H108" s="190"/>
      <c r="I108" s="190"/>
      <c r="J108" s="190"/>
      <c r="K108" s="190"/>
      <c r="L108" s="190"/>
      <c r="M108" s="190"/>
      <c r="N108" s="190"/>
      <c r="O108" s="190"/>
    </row>
    <row r="109" spans="1:16" s="195" customFormat="1" ht="15.75">
      <c r="A109" s="191">
        <f>'PLAN.D_Serv. Comp.'!A10</f>
        <v>1</v>
      </c>
      <c r="B109" s="191">
        <f>'PLAN.D_Serv. Comp.'!B10</f>
        <v>0</v>
      </c>
      <c r="C109" s="192">
        <f>SUM(C110:C112)</f>
        <v>16681.84</v>
      </c>
      <c r="D109" s="192">
        <f>SUM(D110:D112)</f>
        <v>0</v>
      </c>
      <c r="E109" s="193">
        <f>IF(D109=0,0,D109/$C109)</f>
        <v>0</v>
      </c>
      <c r="F109" s="192">
        <f>SUM(F110:F112)</f>
        <v>0</v>
      </c>
      <c r="G109" s="193">
        <f>IF(F109=0,0,F109/$C109)</f>
        <v>0</v>
      </c>
      <c r="H109" s="192">
        <f>SUM(H110:H112)</f>
        <v>0</v>
      </c>
      <c r="I109" s="193">
        <f>IF(H109=0,0,H109/$C109)</f>
        <v>0</v>
      </c>
      <c r="J109" s="192">
        <f>SUM(J110:J112)</f>
        <v>0</v>
      </c>
      <c r="K109" s="193">
        <f>IF(J109=0,0,J109/$C109)</f>
        <v>0</v>
      </c>
      <c r="L109" s="192">
        <f>SUM(L110:L112)</f>
        <v>2830.31</v>
      </c>
      <c r="M109" s="193">
        <f>IF(L109=0,0,L109/$C109)</f>
        <v>0.16966413776897513</v>
      </c>
      <c r="N109" s="192">
        <f>SUM(N110:N112)</f>
        <v>13851.53</v>
      </c>
      <c r="O109" s="193">
        <f>IF(N109=0,0,N109/$C109)</f>
        <v>0.830335862231025</v>
      </c>
      <c r="P109" s="194">
        <f aca="true" t="shared" si="93" ref="P109:P112">IF(C109=(D109+F109+H109+J109+L109+N109)," ","ERRO NO SOMATÓRIO")</f>
        <v>0</v>
      </c>
    </row>
    <row r="110" spans="1:16" s="187" customFormat="1" ht="15.75">
      <c r="A110" s="196">
        <f>'PLAN.D_Serv. Comp.'!A11</f>
        <v>0</v>
      </c>
      <c r="B110" s="197">
        <f>'PLAN.D_Serv. Comp.'!B11</f>
        <v>0</v>
      </c>
      <c r="C110" s="198">
        <f>'PLAN.D_Serv. Comp.'!F11</f>
        <v>2830.31</v>
      </c>
      <c r="D110" s="199"/>
      <c r="E110" s="200">
        <f aca="true" t="shared" si="94" ref="E110:E112">IF(D110&gt;0,D110/$C110," ")</f>
        <v>0</v>
      </c>
      <c r="F110" s="199"/>
      <c r="G110" s="200">
        <f aca="true" t="shared" si="95" ref="G110:G112">IF(F110&gt;0,F110/$C110," ")</f>
        <v>0</v>
      </c>
      <c r="H110" s="199"/>
      <c r="I110" s="200">
        <f aca="true" t="shared" si="96" ref="I110:I112">IF(H110&gt;0,H110/$C110," ")</f>
        <v>0</v>
      </c>
      <c r="J110" s="199"/>
      <c r="K110" s="200">
        <f aca="true" t="shared" si="97" ref="K110:K112">IF(J110&gt;0,J110/$C110," ")</f>
        <v>0</v>
      </c>
      <c r="L110" s="199">
        <f>'PLAN.D_Serv. Comp.'!F11</f>
        <v>2830.31</v>
      </c>
      <c r="M110" s="200">
        <f aca="true" t="shared" si="98" ref="M110:M112">IF(L110&gt;0,L110/$C110," ")</f>
        <v>1</v>
      </c>
      <c r="N110" s="199"/>
      <c r="O110" s="200">
        <f aca="true" t="shared" si="99" ref="O110:O112">IF(N110&gt;0,N110/$C110," ")</f>
        <v>0</v>
      </c>
      <c r="P110" s="194">
        <f t="shared" si="93"/>
        <v>0</v>
      </c>
    </row>
    <row r="111" spans="1:16" s="187" customFormat="1" ht="15.75">
      <c r="A111" s="196">
        <f>'PLAN.D_Serv. Comp.'!A17</f>
        <v>0</v>
      </c>
      <c r="B111" s="197">
        <f>'PLAN.D_Serv. Comp.'!B17</f>
        <v>0</v>
      </c>
      <c r="C111" s="198">
        <f>'PLAN.D_Serv. Comp.'!F17</f>
        <v>10459.12</v>
      </c>
      <c r="D111" s="199"/>
      <c r="E111" s="200">
        <f t="shared" si="94"/>
        <v>0</v>
      </c>
      <c r="F111" s="199"/>
      <c r="G111" s="200">
        <f t="shared" si="95"/>
        <v>0</v>
      </c>
      <c r="H111" s="199"/>
      <c r="I111" s="200">
        <f t="shared" si="96"/>
        <v>0</v>
      </c>
      <c r="J111" s="199"/>
      <c r="K111" s="200">
        <f t="shared" si="97"/>
        <v>0</v>
      </c>
      <c r="L111" s="199"/>
      <c r="M111" s="200">
        <f t="shared" si="98"/>
        <v>0</v>
      </c>
      <c r="N111" s="199">
        <f>'PLAN.D_Serv. Comp.'!F17</f>
        <v>10459.12</v>
      </c>
      <c r="O111" s="200">
        <f t="shared" si="99"/>
        <v>1</v>
      </c>
      <c r="P111" s="194">
        <f t="shared" si="93"/>
        <v>0</v>
      </c>
    </row>
    <row r="112" spans="1:16" s="187" customFormat="1" ht="15.75">
      <c r="A112" s="196">
        <f>'PLAN.D_Serv. Comp.'!A32</f>
        <v>0</v>
      </c>
      <c r="B112" s="197">
        <f>'PLAN.D_Serv. Comp.'!B32</f>
        <v>0</v>
      </c>
      <c r="C112" s="198">
        <f>'PLAN.D_Serv. Comp.'!F32</f>
        <v>3392.4100000000003</v>
      </c>
      <c r="D112" s="199"/>
      <c r="E112" s="200">
        <f t="shared" si="94"/>
        <v>0</v>
      </c>
      <c r="F112" s="199"/>
      <c r="G112" s="200">
        <f t="shared" si="95"/>
        <v>0</v>
      </c>
      <c r="H112" s="199"/>
      <c r="I112" s="200">
        <f t="shared" si="96"/>
        <v>0</v>
      </c>
      <c r="J112" s="199"/>
      <c r="K112" s="200">
        <f t="shared" si="97"/>
        <v>0</v>
      </c>
      <c r="L112" s="199"/>
      <c r="M112" s="200">
        <f t="shared" si="98"/>
        <v>0</v>
      </c>
      <c r="N112" s="199">
        <f>'PLAN.D_Serv. Comp.'!F32</f>
        <v>3392.4100000000003</v>
      </c>
      <c r="O112" s="200">
        <f t="shared" si="99"/>
        <v>1</v>
      </c>
      <c r="P112" s="194">
        <f t="shared" si="93"/>
        <v>0</v>
      </c>
    </row>
    <row r="113" spans="1:15" s="187" customFormat="1" ht="12.75">
      <c r="A113" s="186"/>
      <c r="C113" s="201"/>
      <c r="D113" s="188"/>
      <c r="E113" s="189"/>
      <c r="F113" s="188"/>
      <c r="G113" s="189"/>
      <c r="H113" s="188"/>
      <c r="I113" s="189"/>
      <c r="J113" s="188"/>
      <c r="K113" s="189"/>
      <c r="L113" s="188"/>
      <c r="M113" s="189"/>
      <c r="N113" s="188"/>
      <c r="O113" s="189"/>
    </row>
    <row r="114" spans="1:16" s="195" customFormat="1" ht="15.75">
      <c r="A114" s="191">
        <f>'PLAN.D_Serv. Comp.'!A37</f>
        <v>2</v>
      </c>
      <c r="B114" s="191">
        <f>'PLAN.D_Serv. Comp.'!B37</f>
        <v>0</v>
      </c>
      <c r="C114" s="192">
        <f>SUM(C115:C116)</f>
        <v>42318.79000000001</v>
      </c>
      <c r="D114" s="192">
        <f>SUM(D115:D116)</f>
        <v>0</v>
      </c>
      <c r="E114" s="193">
        <f>IF(D114=0,0,D114/$C114)</f>
        <v>0</v>
      </c>
      <c r="F114" s="192">
        <f>SUM(F115:F116)</f>
        <v>0</v>
      </c>
      <c r="G114" s="193">
        <f>IF(F114=0,0,F114/$C114)</f>
        <v>0</v>
      </c>
      <c r="H114" s="192">
        <f>SUM(H115:H116)</f>
        <v>1574.43</v>
      </c>
      <c r="I114" s="193">
        <f>IF(H114=0,0,H114/$C114)</f>
        <v>0.03720404104181617</v>
      </c>
      <c r="J114" s="192">
        <f>SUM(J115:J116)</f>
        <v>24017.7</v>
      </c>
      <c r="K114" s="193">
        <f>IF(J114=0,0,J114/$C114)</f>
        <v>0.5675422194254608</v>
      </c>
      <c r="L114" s="192">
        <f>SUM(L115:L116)</f>
        <v>16726.66</v>
      </c>
      <c r="M114" s="193">
        <f>IF(L114=0,0,L114/$C114)</f>
        <v>0.39525373953272286</v>
      </c>
      <c r="N114" s="192">
        <f>SUM(N115:N116)</f>
        <v>0</v>
      </c>
      <c r="O114" s="193">
        <f>IF(N114=0,0,N114/$C114)</f>
        <v>0</v>
      </c>
      <c r="P114" s="194">
        <f aca="true" t="shared" si="100" ref="P114:P116">IF(C114=(D114+F114+H114+J114+L114+N114)," ","ERRO NO SOMATÓRIO")</f>
        <v>0</v>
      </c>
    </row>
    <row r="115" spans="1:16" s="187" customFormat="1" ht="15.75">
      <c r="A115" s="196">
        <f>'PLAN.D_Serv. Comp.'!A38</f>
        <v>0</v>
      </c>
      <c r="B115" s="197">
        <f>'PLAN.D_Serv. Comp.'!B38</f>
        <v>0</v>
      </c>
      <c r="C115" s="198">
        <f>'PLAN.D_Serv. Comp.'!F38</f>
        <v>9030.130000000001</v>
      </c>
      <c r="D115" s="199"/>
      <c r="E115" s="200">
        <f aca="true" t="shared" si="101" ref="E115:E116">IF(D115&gt;0,D115/$C115," ")</f>
        <v>0</v>
      </c>
      <c r="F115" s="199"/>
      <c r="G115" s="200">
        <f aca="true" t="shared" si="102" ref="G115:G116">IF(F115&gt;0,F115/$C115," ")</f>
        <v>0</v>
      </c>
      <c r="H115" s="199">
        <f>'PLAN.D_Serv. Comp.'!F39</f>
        <v>1574.43</v>
      </c>
      <c r="I115" s="200">
        <f aca="true" t="shared" si="103" ref="I115:I116">IF(H115&gt;0,H115/$C115," ")</f>
        <v>0.17435297166264493</v>
      </c>
      <c r="J115" s="199">
        <f>'PLAN.D_Serv. Comp.'!F40+'PLAN.D_Serv. Comp.'!F41+'PLAN.D_Serv. Comp.'!F42+'PLAN.D_Serv. Comp.'!F43</f>
        <v>7455.700000000001</v>
      </c>
      <c r="K115" s="200">
        <f aca="true" t="shared" si="104" ref="K115:K116">IF(J115&gt;0,J115/$C115," ")</f>
        <v>0.825647028337355</v>
      </c>
      <c r="L115" s="199"/>
      <c r="M115" s="200">
        <f aca="true" t="shared" si="105" ref="M115:M116">IF(L115&gt;0,L115/$C115," ")</f>
        <v>0</v>
      </c>
      <c r="N115" s="199"/>
      <c r="O115" s="200">
        <f aca="true" t="shared" si="106" ref="O115:O116">IF(N115&gt;0,N115/$C115," ")</f>
        <v>0</v>
      </c>
      <c r="P115" s="194">
        <f t="shared" si="100"/>
        <v>0</v>
      </c>
    </row>
    <row r="116" spans="1:16" s="187" customFormat="1" ht="15.75">
      <c r="A116" s="196">
        <f>'PLAN.D_Serv. Comp.'!A44</f>
        <v>0</v>
      </c>
      <c r="B116" s="197">
        <f>'PLAN.D_Serv. Comp.'!B44</f>
        <v>0</v>
      </c>
      <c r="C116" s="198">
        <f>'PLAN.D_Serv. Comp.'!F44</f>
        <v>33288.66</v>
      </c>
      <c r="D116" s="207"/>
      <c r="E116" s="200">
        <f t="shared" si="101"/>
        <v>0</v>
      </c>
      <c r="F116" s="207"/>
      <c r="G116" s="200">
        <f t="shared" si="102"/>
        <v>0</v>
      </c>
      <c r="H116" s="207"/>
      <c r="I116" s="200">
        <f t="shared" si="103"/>
        <v>0</v>
      </c>
      <c r="J116" s="207">
        <f>'PLAN.D_Serv. Comp.'!F45</f>
        <v>16562</v>
      </c>
      <c r="K116" s="200">
        <f t="shared" si="104"/>
        <v>0.49752678539779005</v>
      </c>
      <c r="L116" s="207">
        <f>'PLAN.D_Serv. Comp.'!F46+'PLAN.D_Serv. Comp.'!F47+'PLAN.D_Serv. Comp.'!F48+'PLAN.D_Serv. Comp.'!F49</f>
        <v>16726.66</v>
      </c>
      <c r="M116" s="200">
        <f t="shared" si="105"/>
        <v>0.5024732146022098</v>
      </c>
      <c r="N116" s="207"/>
      <c r="O116" s="200">
        <f t="shared" si="106"/>
        <v>0</v>
      </c>
      <c r="P116" s="194">
        <f t="shared" si="100"/>
        <v>0</v>
      </c>
    </row>
    <row r="117" spans="1:15" s="187" customFormat="1" ht="12.75">
      <c r="A117" s="186"/>
      <c r="C117" s="201"/>
      <c r="D117" s="188"/>
      <c r="E117" s="189"/>
      <c r="F117" s="188"/>
      <c r="G117" s="189"/>
      <c r="H117" s="188"/>
      <c r="I117" s="189"/>
      <c r="J117" s="188"/>
      <c r="K117" s="189"/>
      <c r="L117" s="188"/>
      <c r="M117" s="189"/>
      <c r="N117" s="188"/>
      <c r="O117" s="189"/>
    </row>
    <row r="118" spans="1:16" s="195" customFormat="1" ht="15.75">
      <c r="A118" s="191">
        <f>'PLAN.D_Serv. Comp.'!A50</f>
        <v>3</v>
      </c>
      <c r="B118" s="191">
        <f>'PLAN.D_Serv. Comp.'!B50</f>
        <v>0</v>
      </c>
      <c r="C118" s="192">
        <f>SUM(C119:C119)</f>
        <v>755.8</v>
      </c>
      <c r="D118" s="192">
        <f>SUM(D119:D119)</f>
        <v>0</v>
      </c>
      <c r="E118" s="193">
        <f>IF(D118=0,0,D118/$C118)</f>
        <v>0</v>
      </c>
      <c r="F118" s="192">
        <f>SUM(F119:F119)</f>
        <v>0</v>
      </c>
      <c r="G118" s="193">
        <f>IF(F118=0,0,F118/$C118)</f>
        <v>0</v>
      </c>
      <c r="H118" s="192">
        <f>SUM(H119:H119)</f>
        <v>0</v>
      </c>
      <c r="I118" s="193">
        <f>IF(H118=0,0,H118/$C118)</f>
        <v>0</v>
      </c>
      <c r="J118" s="192">
        <f>SUM(J119:J119)</f>
        <v>0</v>
      </c>
      <c r="K118" s="193">
        <f>IF(J118=0,0,J118/$C118)</f>
        <v>0</v>
      </c>
      <c r="L118" s="192">
        <f>SUM(L119:L119)</f>
        <v>755.8</v>
      </c>
      <c r="M118" s="193">
        <f>IF(L118=0,0,L118/$C118)</f>
        <v>1</v>
      </c>
      <c r="N118" s="192">
        <f>SUM(N119:N119)</f>
        <v>0</v>
      </c>
      <c r="O118" s="193">
        <f>IF(N118=0,0,N118/$C118)</f>
        <v>0</v>
      </c>
      <c r="P118" s="194">
        <f aca="true" t="shared" si="107" ref="P118:P119">IF(C118=(D118+F118+H118+J118+L118+N118)," ","ERRO NO SOMATÓRIO")</f>
        <v>0</v>
      </c>
    </row>
    <row r="119" spans="1:16" s="187" customFormat="1" ht="15.75">
      <c r="A119" s="196">
        <f>'PLAN.D_Serv. Comp.'!A51</f>
        <v>0</v>
      </c>
      <c r="B119" s="197">
        <f>'PLAN.D_Serv. Comp.'!B51</f>
        <v>0</v>
      </c>
      <c r="C119" s="198">
        <f>'PLAN.D_Serv. Comp.'!F51</f>
        <v>755.8</v>
      </c>
      <c r="D119" s="199"/>
      <c r="E119" s="200">
        <f>IF(D119&gt;0,D119/$C119," ")</f>
        <v>0</v>
      </c>
      <c r="F119" s="199"/>
      <c r="G119" s="200">
        <f>IF(F119&gt;0,F119/$C119," ")</f>
        <v>0</v>
      </c>
      <c r="H119" s="199"/>
      <c r="I119" s="200">
        <f>IF(H119&gt;0,H119/$C119," ")</f>
        <v>0</v>
      </c>
      <c r="J119" s="199"/>
      <c r="K119" s="200">
        <f>IF(J119&gt;0,J119/$C119," ")</f>
        <v>0</v>
      </c>
      <c r="L119" s="199">
        <f>'PLAN.D_Serv. Comp.'!F52</f>
        <v>755.8</v>
      </c>
      <c r="M119" s="200">
        <f>IF(L119&gt;0,L119/$C119," ")</f>
        <v>1</v>
      </c>
      <c r="N119" s="199"/>
      <c r="O119" s="200">
        <f>IF(N119&gt;0,N119/$C119," ")</f>
        <v>0</v>
      </c>
      <c r="P119" s="194">
        <f t="shared" si="107"/>
        <v>0</v>
      </c>
    </row>
    <row r="120" spans="1:15" s="187" customFormat="1" ht="12.75">
      <c r="A120" s="186"/>
      <c r="C120" s="201"/>
      <c r="D120" s="188"/>
      <c r="E120" s="189"/>
      <c r="F120" s="188"/>
      <c r="G120" s="189"/>
      <c r="H120" s="188"/>
      <c r="I120" s="189"/>
      <c r="J120" s="188"/>
      <c r="K120" s="189"/>
      <c r="L120" s="188"/>
      <c r="M120" s="189"/>
      <c r="N120" s="188"/>
      <c r="O120" s="189"/>
    </row>
    <row r="121" spans="1:16" s="187" customFormat="1" ht="15.75">
      <c r="A121" s="186"/>
      <c r="B121" s="202" t="s">
        <v>695</v>
      </c>
      <c r="C121" s="203">
        <f>C109+C114+C118</f>
        <v>59756.43000000001</v>
      </c>
      <c r="D121" s="203">
        <f>D109+D114+D118</f>
        <v>0</v>
      </c>
      <c r="E121" s="193">
        <f>IF(D121=0,0,D121/$C121)</f>
        <v>0</v>
      </c>
      <c r="F121" s="203">
        <f>F109+F114+F118</f>
        <v>0</v>
      </c>
      <c r="G121" s="193">
        <f>IF(F121=0,0,F121/$C121)</f>
        <v>0</v>
      </c>
      <c r="H121" s="203">
        <f>H109+H114+H118</f>
        <v>1574.43</v>
      </c>
      <c r="I121" s="193">
        <f>IF(H121=0,0,H121/$C121)</f>
        <v>0.026347457503736415</v>
      </c>
      <c r="J121" s="203">
        <f>J109+J114+J118</f>
        <v>24017.7</v>
      </c>
      <c r="K121" s="193">
        <f>IF(J121=0,0,J121/$C121)</f>
        <v>0.40192662111843025</v>
      </c>
      <c r="L121" s="203">
        <f>L109+L114+L118</f>
        <v>20312.77</v>
      </c>
      <c r="M121" s="193">
        <f>IF(L121=0,0,L121/$C121)</f>
        <v>0.33992609665604184</v>
      </c>
      <c r="N121" s="203">
        <f>N109+N114+N118</f>
        <v>13851.53</v>
      </c>
      <c r="O121" s="193">
        <f>IF(N121=0,0,N121/$C121)</f>
        <v>0.23179982472179142</v>
      </c>
      <c r="P121" s="194">
        <f>IF(C121=(D121+F121+H121+J121+L121+N121)," ","ERRO NO SOMATÓRIO")</f>
        <v>0</v>
      </c>
    </row>
    <row r="122" ht="12.75">
      <c r="C122" s="204">
        <f>IF(C121='PLAN.D_Serv. Comp.'!F54," ","ERRO NO SOMATÓRIO")</f>
        <v>0</v>
      </c>
    </row>
    <row r="123" spans="1:15" s="187" customFormat="1" ht="18">
      <c r="A123" s="186"/>
      <c r="B123" s="205"/>
      <c r="C123" s="201"/>
      <c r="D123" s="188"/>
      <c r="E123" s="189"/>
      <c r="F123" s="188"/>
      <c r="G123" s="189"/>
      <c r="H123" s="188"/>
      <c r="I123" s="189"/>
      <c r="J123" s="188"/>
      <c r="K123" s="189"/>
      <c r="L123" s="188"/>
      <c r="M123" s="189"/>
      <c r="N123" s="188"/>
      <c r="O123" s="189"/>
    </row>
    <row r="124" spans="1:16" s="205" customFormat="1" ht="18">
      <c r="A124" s="209"/>
      <c r="B124" s="210" t="s">
        <v>696</v>
      </c>
      <c r="C124" s="211">
        <f>C20+C53+C105+C121</f>
        <v>1284495.5399999998</v>
      </c>
      <c r="D124" s="211">
        <f>D20+D53+D105+D121</f>
        <v>117246.3775</v>
      </c>
      <c r="E124" s="212">
        <f>IF(D124=0,0,D124/$C124)</f>
        <v>0.09127815072055448</v>
      </c>
      <c r="F124" s="211">
        <f>F20+F53+F105+F121</f>
        <v>53489.219999999994</v>
      </c>
      <c r="G124" s="212">
        <f>IF(F124=0,0,F124/$C124)</f>
        <v>0.041642199863146274</v>
      </c>
      <c r="H124" s="211">
        <f>H20+H53+H105+H121</f>
        <v>274364.55999999994</v>
      </c>
      <c r="I124" s="212">
        <f>IF(H124=0,0,H124/$C124)</f>
        <v>0.21359712934464528</v>
      </c>
      <c r="J124" s="211">
        <f>J20+J53+J105+J121</f>
        <v>200534.35000000003</v>
      </c>
      <c r="K124" s="212">
        <f>IF(J124=0,0,J124/$C124)</f>
        <v>0.1561191485335948</v>
      </c>
      <c r="L124" s="211">
        <f>L20+L53+L105+L121</f>
        <v>541773.9400000001</v>
      </c>
      <c r="M124" s="212">
        <f>IF(L124=0,0,L124/$C124)</f>
        <v>0.4217795415622853</v>
      </c>
      <c r="N124" s="211">
        <f>N20+N53+N105+N121</f>
        <v>97087.0925</v>
      </c>
      <c r="O124" s="212">
        <f>IF(N124=0,0,N124/$C124)</f>
        <v>0.07558382997577401</v>
      </c>
      <c r="P124" s="194">
        <f>IF(C124=(D124+F124+H124+J124+L124+N124)," ","ERRO NO SOMATÓRIO")</f>
        <v>0</v>
      </c>
    </row>
    <row r="125" spans="1:16" s="205" customFormat="1" ht="18">
      <c r="A125" s="209"/>
      <c r="B125" s="210" t="s">
        <v>697</v>
      </c>
      <c r="C125" s="211"/>
      <c r="D125" s="211">
        <f>D124</f>
        <v>117246.3775</v>
      </c>
      <c r="E125" s="212">
        <f>IF(D125=0,0,D125/$C124)</f>
        <v>0.09127815072055448</v>
      </c>
      <c r="F125" s="211">
        <f>D125+F124</f>
        <v>170735.5975</v>
      </c>
      <c r="G125" s="212">
        <f>IF(F125=0,0,F125/$C124)</f>
        <v>0.13292035058370077</v>
      </c>
      <c r="H125" s="211">
        <f>F125+H124</f>
        <v>445100.1575</v>
      </c>
      <c r="I125" s="212">
        <f>IF(H125=0,0,H125/$C124)</f>
        <v>0.3465174799283461</v>
      </c>
      <c r="J125" s="211">
        <f>H125+J124</f>
        <v>645634.5075000001</v>
      </c>
      <c r="K125" s="212">
        <f>IF(J125=0,0,J125/$C124)</f>
        <v>0.5026366284619409</v>
      </c>
      <c r="L125" s="211">
        <f>J125+L124</f>
        <v>1187408.4475000002</v>
      </c>
      <c r="M125" s="212">
        <f>IF(L125=0,0,L125/$C124)</f>
        <v>0.9244161700242264</v>
      </c>
      <c r="N125" s="211">
        <f>L125+N124</f>
        <v>1284495.5400000003</v>
      </c>
      <c r="O125" s="212">
        <f>IF(N125=0,0,N125/$C124)</f>
        <v>1.0000000000000004</v>
      </c>
      <c r="P125" s="194">
        <f>IF(C124=N125," ","ERRO NO SOMATÓRIO")</f>
        <v>0</v>
      </c>
    </row>
  </sheetData>
  <sheetProtection selectLockedCells="1" selectUnlockedCells="1"/>
  <mergeCells count="14">
    <mergeCell ref="A9:O9"/>
    <mergeCell ref="A10:A11"/>
    <mergeCell ref="B10:B11"/>
    <mergeCell ref="C10:C11"/>
    <mergeCell ref="D10:E10"/>
    <mergeCell ref="F10:G10"/>
    <mergeCell ref="H10:I10"/>
    <mergeCell ref="J10:K10"/>
    <mergeCell ref="L10:M10"/>
    <mergeCell ref="N10:O10"/>
    <mergeCell ref="B13:O13"/>
    <mergeCell ref="B23:O23"/>
    <mergeCell ref="B56:O56"/>
    <mergeCell ref="B108:O108"/>
  </mergeCells>
  <conditionalFormatting sqref="D18 D72:D73 F72:F73 H72:H73 J72:J73 L72:L73 N72:N73">
    <cfRule type="cellIs" priority="1" dxfId="1" operator="greaterThan" stopIfTrue="1">
      <formula>0</formula>
    </cfRule>
  </conditionalFormatting>
  <conditionalFormatting sqref="D15:E15 I15:O15">
    <cfRule type="expression" priority="2" dxfId="1" stopIfTrue="1">
      <formula>LEN(TRIM(D15))&gt;0</formula>
    </cfRule>
  </conditionalFormatting>
  <conditionalFormatting sqref="H15">
    <cfRule type="cellIs" priority="3" dxfId="1" operator="greaterThan" stopIfTrue="1">
      <formula>0</formula>
    </cfRule>
  </conditionalFormatting>
  <conditionalFormatting sqref="F15">
    <cfRule type="cellIs" priority="4" dxfId="1" operator="greaterThan" stopIfTrue="1">
      <formula>0</formula>
    </cfRule>
  </conditionalFormatting>
  <conditionalFormatting sqref="D27 J27 L27 N27">
    <cfRule type="cellIs" priority="5" dxfId="1" operator="greaterThan" stopIfTrue="1">
      <formula>0</formula>
    </cfRule>
  </conditionalFormatting>
  <conditionalFormatting sqref="D30 J30 L30 N30 J33:J36 D33:D36 L33:L36 N33:N36">
    <cfRule type="cellIs" priority="6" dxfId="1" operator="greaterThan" stopIfTrue="1">
      <formula>0</formula>
    </cfRule>
  </conditionalFormatting>
  <conditionalFormatting sqref="D39 J39 J43:J44 D43:D44 L43:L44 L39 N39 N43:N44 J41 D41 L41 N41">
    <cfRule type="cellIs" priority="7" dxfId="1" operator="greaterThan" stopIfTrue="1">
      <formula>0</formula>
    </cfRule>
  </conditionalFormatting>
  <conditionalFormatting sqref="D47:D48 J47:J48 L47:L48 N47:N48">
    <cfRule type="cellIs" priority="8" dxfId="1" operator="greaterThan" stopIfTrue="1">
      <formula>0</formula>
    </cfRule>
  </conditionalFormatting>
  <conditionalFormatting sqref="H27">
    <cfRule type="cellIs" priority="9" dxfId="1" operator="greaterThan" stopIfTrue="1">
      <formula>0</formula>
    </cfRule>
  </conditionalFormatting>
  <conditionalFormatting sqref="H30 H33:H36">
    <cfRule type="cellIs" priority="10" dxfId="1" operator="greaterThan" stopIfTrue="1">
      <formula>0</formula>
    </cfRule>
  </conditionalFormatting>
  <conditionalFormatting sqref="H39 H43:H44 H41">
    <cfRule type="cellIs" priority="11" dxfId="1" operator="greaterThan" stopIfTrue="1">
      <formula>0</formula>
    </cfRule>
  </conditionalFormatting>
  <conditionalFormatting sqref="H47:H48">
    <cfRule type="cellIs" priority="12" dxfId="1" operator="greaterThan" stopIfTrue="1">
      <formula>0</formula>
    </cfRule>
  </conditionalFormatting>
  <conditionalFormatting sqref="F27">
    <cfRule type="cellIs" priority="13" dxfId="1" operator="greaterThan" stopIfTrue="1">
      <formula>0</formula>
    </cfRule>
  </conditionalFormatting>
  <conditionalFormatting sqref="F30 F33:F36">
    <cfRule type="cellIs" priority="14" dxfId="1" operator="greaterThan" stopIfTrue="1">
      <formula>0</formula>
    </cfRule>
  </conditionalFormatting>
  <conditionalFormatting sqref="F39 F43:F44 F41">
    <cfRule type="cellIs" priority="15" dxfId="1" operator="greaterThan" stopIfTrue="1">
      <formula>0</formula>
    </cfRule>
  </conditionalFormatting>
  <conditionalFormatting sqref="F47:F48">
    <cfRule type="cellIs" priority="16" dxfId="1" operator="greaterThan" stopIfTrue="1">
      <formula>0</formula>
    </cfRule>
  </conditionalFormatting>
  <conditionalFormatting sqref="D25 J25 L25 N25">
    <cfRule type="cellIs" priority="17" dxfId="1" operator="greaterThan" stopIfTrue="1">
      <formula>0</formula>
    </cfRule>
  </conditionalFormatting>
  <conditionalFormatting sqref="H25">
    <cfRule type="cellIs" priority="18" dxfId="1" operator="greaterThan" stopIfTrue="1">
      <formula>0</formula>
    </cfRule>
  </conditionalFormatting>
  <conditionalFormatting sqref="F25">
    <cfRule type="cellIs" priority="19" dxfId="1" operator="greaterThan" stopIfTrue="1">
      <formula>0</formula>
    </cfRule>
  </conditionalFormatting>
  <conditionalFormatting sqref="D62 J62 L62 N62">
    <cfRule type="cellIs" priority="20" dxfId="1" operator="greaterThan" stopIfTrue="1">
      <formula>0</formula>
    </cfRule>
  </conditionalFormatting>
  <conditionalFormatting sqref="D65 J65 J67:J69 D67:D69 L67:L69 L65 N65 N67:N69">
    <cfRule type="cellIs" priority="21" dxfId="1" operator="greaterThan" stopIfTrue="1">
      <formula>0</formula>
    </cfRule>
  </conditionalFormatting>
  <conditionalFormatting sqref="D98 J98 J100 D100 L100 L98 N98 N100">
    <cfRule type="cellIs" priority="22" dxfId="1" operator="greaterThan" stopIfTrue="1">
      <formula>0</formula>
    </cfRule>
  </conditionalFormatting>
  <conditionalFormatting sqref="H62">
    <cfRule type="cellIs" priority="23" dxfId="1" operator="greaterThan" stopIfTrue="1">
      <formula>0</formula>
    </cfRule>
  </conditionalFormatting>
  <conditionalFormatting sqref="H65 H67:H69">
    <cfRule type="cellIs" priority="24" dxfId="1" operator="greaterThan" stopIfTrue="1">
      <formula>0</formula>
    </cfRule>
  </conditionalFormatting>
  <conditionalFormatting sqref="H98 H100">
    <cfRule type="cellIs" priority="25" dxfId="1" operator="greaterThan" stopIfTrue="1">
      <formula>0</formula>
    </cfRule>
  </conditionalFormatting>
  <conditionalFormatting sqref="F62">
    <cfRule type="cellIs" priority="26" dxfId="1" operator="greaterThan" stopIfTrue="1">
      <formula>0</formula>
    </cfRule>
  </conditionalFormatting>
  <conditionalFormatting sqref="F65 F67:F69">
    <cfRule type="cellIs" priority="27" dxfId="1" operator="greaterThan" stopIfTrue="1">
      <formula>0</formula>
    </cfRule>
  </conditionalFormatting>
  <conditionalFormatting sqref="F98 F100">
    <cfRule type="cellIs" priority="28" dxfId="1" operator="greaterThan" stopIfTrue="1">
      <formula>0</formula>
    </cfRule>
  </conditionalFormatting>
  <conditionalFormatting sqref="D58 J58 L58 N58">
    <cfRule type="cellIs" priority="29" dxfId="1" operator="greaterThan" stopIfTrue="1">
      <formula>0</formula>
    </cfRule>
  </conditionalFormatting>
  <conditionalFormatting sqref="H58">
    <cfRule type="cellIs" priority="30" dxfId="1" operator="greaterThan" stopIfTrue="1">
      <formula>0</formula>
    </cfRule>
  </conditionalFormatting>
  <conditionalFormatting sqref="F58">
    <cfRule type="cellIs" priority="31" dxfId="1" operator="greaterThan" stopIfTrue="1">
      <formula>0</formula>
    </cfRule>
  </conditionalFormatting>
  <conditionalFormatting sqref="D17 N17">
    <cfRule type="cellIs" priority="32" dxfId="1" operator="greaterThan" stopIfTrue="1">
      <formula>0</formula>
    </cfRule>
  </conditionalFormatting>
  <conditionalFormatting sqref="D16 J16 L16 N16">
    <cfRule type="cellIs" priority="33" dxfId="1" operator="greaterThan" stopIfTrue="1">
      <formula>0</formula>
    </cfRule>
  </conditionalFormatting>
  <conditionalFormatting sqref="H16">
    <cfRule type="cellIs" priority="34" dxfId="1" operator="greaterThan" stopIfTrue="1">
      <formula>0</formula>
    </cfRule>
  </conditionalFormatting>
  <conditionalFormatting sqref="F16">
    <cfRule type="cellIs" priority="35" dxfId="1" operator="greaterThan" stopIfTrue="1">
      <formula>0</formula>
    </cfRule>
  </conditionalFormatting>
  <conditionalFormatting sqref="D26 J26 L26 N26">
    <cfRule type="cellIs" priority="36" dxfId="1" operator="greaterThan" stopIfTrue="1">
      <formula>0</formula>
    </cfRule>
  </conditionalFormatting>
  <conditionalFormatting sqref="H26">
    <cfRule type="cellIs" priority="37" dxfId="1" operator="greaterThan" stopIfTrue="1">
      <formula>0</formula>
    </cfRule>
  </conditionalFormatting>
  <conditionalFormatting sqref="F26">
    <cfRule type="cellIs" priority="38" dxfId="1" operator="greaterThan" stopIfTrue="1">
      <formula>0</formula>
    </cfRule>
  </conditionalFormatting>
  <conditionalFormatting sqref="J31:J32 D31:D32 L31:L32 N31:N32">
    <cfRule type="cellIs" priority="39" dxfId="1" operator="greaterThan" stopIfTrue="1">
      <formula>0</formula>
    </cfRule>
  </conditionalFormatting>
  <conditionalFormatting sqref="H31:H32">
    <cfRule type="cellIs" priority="40" dxfId="1" operator="greaterThan" stopIfTrue="1">
      <formula>0</formula>
    </cfRule>
  </conditionalFormatting>
  <conditionalFormatting sqref="F31:F32">
    <cfRule type="cellIs" priority="41" dxfId="1" operator="greaterThan" stopIfTrue="1">
      <formula>0</formula>
    </cfRule>
  </conditionalFormatting>
  <conditionalFormatting sqref="J42 D42 L42 N42">
    <cfRule type="cellIs" priority="42" dxfId="1" operator="greaterThan" stopIfTrue="1">
      <formula>0</formula>
    </cfRule>
  </conditionalFormatting>
  <conditionalFormatting sqref="H42">
    <cfRule type="cellIs" priority="43" dxfId="1" operator="greaterThan" stopIfTrue="1">
      <formula>0</formula>
    </cfRule>
  </conditionalFormatting>
  <conditionalFormatting sqref="F42">
    <cfRule type="cellIs" priority="44" dxfId="1" operator="greaterThan" stopIfTrue="1">
      <formula>0</formula>
    </cfRule>
  </conditionalFormatting>
  <conditionalFormatting sqref="D61 J61 L61 N61">
    <cfRule type="cellIs" priority="45" dxfId="1" operator="greaterThan" stopIfTrue="1">
      <formula>0</formula>
    </cfRule>
  </conditionalFormatting>
  <conditionalFormatting sqref="H61">
    <cfRule type="cellIs" priority="46" dxfId="1" operator="greaterThan" stopIfTrue="1">
      <formula>0</formula>
    </cfRule>
  </conditionalFormatting>
  <conditionalFormatting sqref="F61">
    <cfRule type="cellIs" priority="47" dxfId="1" operator="greaterThan" stopIfTrue="1">
      <formula>0</formula>
    </cfRule>
  </conditionalFormatting>
  <conditionalFormatting sqref="D60 J60 L60 N60">
    <cfRule type="cellIs" priority="48" dxfId="1" operator="greaterThan" stopIfTrue="1">
      <formula>0</formula>
    </cfRule>
  </conditionalFormatting>
  <conditionalFormatting sqref="H60">
    <cfRule type="cellIs" priority="49" dxfId="1" operator="greaterThan" stopIfTrue="1">
      <formula>0</formula>
    </cfRule>
  </conditionalFormatting>
  <conditionalFormatting sqref="F60">
    <cfRule type="cellIs" priority="50" dxfId="1" operator="greaterThan" stopIfTrue="1">
      <formula>0</formula>
    </cfRule>
  </conditionalFormatting>
  <conditionalFormatting sqref="D59 J59 L59 N59">
    <cfRule type="cellIs" priority="51" dxfId="1" operator="greaterThan" stopIfTrue="1">
      <formula>0</formula>
    </cfRule>
  </conditionalFormatting>
  <conditionalFormatting sqref="H59">
    <cfRule type="cellIs" priority="52" dxfId="1" operator="greaterThan" stopIfTrue="1">
      <formula>0</formula>
    </cfRule>
  </conditionalFormatting>
  <conditionalFormatting sqref="F59">
    <cfRule type="cellIs" priority="53" dxfId="1" operator="greaterThan" stopIfTrue="1">
      <formula>0</formula>
    </cfRule>
  </conditionalFormatting>
  <conditionalFormatting sqref="J66 D66 L66 N66">
    <cfRule type="cellIs" priority="54" dxfId="1" operator="greaterThan" stopIfTrue="1">
      <formula>0</formula>
    </cfRule>
  </conditionalFormatting>
  <conditionalFormatting sqref="H66">
    <cfRule type="cellIs" priority="55" dxfId="1" operator="greaterThan" stopIfTrue="1">
      <formula>0</formula>
    </cfRule>
  </conditionalFormatting>
  <conditionalFormatting sqref="F66">
    <cfRule type="cellIs" priority="56" dxfId="1" operator="greaterThan" stopIfTrue="1">
      <formula>0</formula>
    </cfRule>
  </conditionalFormatting>
  <conditionalFormatting sqref="D76:D78 J76:J78 L76:L78 N76:N78">
    <cfRule type="cellIs" priority="57" dxfId="1" operator="greaterThan" stopIfTrue="1">
      <formula>0</formula>
    </cfRule>
  </conditionalFormatting>
  <conditionalFormatting sqref="H76:H78">
    <cfRule type="cellIs" priority="58" dxfId="1" operator="greaterThan" stopIfTrue="1">
      <formula>0</formula>
    </cfRule>
  </conditionalFormatting>
  <conditionalFormatting sqref="F76:F78">
    <cfRule type="cellIs" priority="59" dxfId="1" operator="greaterThan" stopIfTrue="1">
      <formula>0</formula>
    </cfRule>
  </conditionalFormatting>
  <conditionalFormatting sqref="D93:D95 J93:J95 L93:L95 N93:N95">
    <cfRule type="cellIs" priority="60" dxfId="1" operator="greaterThan" stopIfTrue="1">
      <formula>0</formula>
    </cfRule>
  </conditionalFormatting>
  <conditionalFormatting sqref="H93:H95">
    <cfRule type="cellIs" priority="61" dxfId="1" operator="greaterThan" stopIfTrue="1">
      <formula>0</formula>
    </cfRule>
  </conditionalFormatting>
  <conditionalFormatting sqref="F93:F95">
    <cfRule type="cellIs" priority="62" dxfId="1" operator="greaterThan" stopIfTrue="1">
      <formula>0</formula>
    </cfRule>
  </conditionalFormatting>
  <conditionalFormatting sqref="D81 J81 L81 N81 J83:J85 D83:D85 L83:L85 N83:N85">
    <cfRule type="cellIs" priority="63" dxfId="1" operator="greaterThan" stopIfTrue="1">
      <formula>0</formula>
    </cfRule>
  </conditionalFormatting>
  <conditionalFormatting sqref="H81 H83:H85">
    <cfRule type="cellIs" priority="64" dxfId="1" operator="greaterThan" stopIfTrue="1">
      <formula>0</formula>
    </cfRule>
  </conditionalFormatting>
  <conditionalFormatting sqref="F81 F83:F85">
    <cfRule type="cellIs" priority="65" dxfId="1" operator="greaterThan" stopIfTrue="1">
      <formula>0</formula>
    </cfRule>
  </conditionalFormatting>
  <conditionalFormatting sqref="J82 D82 L82 N82">
    <cfRule type="cellIs" priority="66" dxfId="1" operator="greaterThan" stopIfTrue="1">
      <formula>0</formula>
    </cfRule>
  </conditionalFormatting>
  <conditionalFormatting sqref="H82">
    <cfRule type="cellIs" priority="67" dxfId="1" operator="greaterThan" stopIfTrue="1">
      <formula>0</formula>
    </cfRule>
  </conditionalFormatting>
  <conditionalFormatting sqref="F82">
    <cfRule type="cellIs" priority="68" dxfId="1" operator="greaterThan" stopIfTrue="1">
      <formula>0</formula>
    </cfRule>
  </conditionalFormatting>
  <conditionalFormatting sqref="D88:D90 J88:J90 L88:L90 N88:N90">
    <cfRule type="cellIs" priority="69" dxfId="1" operator="greaterThan" stopIfTrue="1">
      <formula>0</formula>
    </cfRule>
  </conditionalFormatting>
  <conditionalFormatting sqref="H88:H90">
    <cfRule type="cellIs" priority="70" dxfId="1" operator="greaterThan" stopIfTrue="1">
      <formula>0</formula>
    </cfRule>
  </conditionalFormatting>
  <conditionalFormatting sqref="F88:F90">
    <cfRule type="cellIs" priority="71" dxfId="1" operator="greaterThan" stopIfTrue="1">
      <formula>0</formula>
    </cfRule>
  </conditionalFormatting>
  <conditionalFormatting sqref="D103 J103 L103 N103">
    <cfRule type="cellIs" priority="72" dxfId="1" operator="greaterThan" stopIfTrue="1">
      <formula>0</formula>
    </cfRule>
  </conditionalFormatting>
  <conditionalFormatting sqref="H103">
    <cfRule type="cellIs" priority="73" dxfId="1" operator="greaterThan" stopIfTrue="1">
      <formula>0</formula>
    </cfRule>
  </conditionalFormatting>
  <conditionalFormatting sqref="F103">
    <cfRule type="cellIs" priority="74" dxfId="1" operator="greaterThan" stopIfTrue="1">
      <formula>0</formula>
    </cfRule>
  </conditionalFormatting>
  <conditionalFormatting sqref="J99 D99 L99 N99">
    <cfRule type="cellIs" priority="75" dxfId="1" operator="greaterThan" stopIfTrue="1">
      <formula>0</formula>
    </cfRule>
  </conditionalFormatting>
  <conditionalFormatting sqref="H99">
    <cfRule type="cellIs" priority="76" dxfId="1" operator="greaterThan" stopIfTrue="1">
      <formula>0</formula>
    </cfRule>
  </conditionalFormatting>
  <conditionalFormatting sqref="F99">
    <cfRule type="cellIs" priority="77" dxfId="1" operator="greaterThan" stopIfTrue="1">
      <formula>0</formula>
    </cfRule>
  </conditionalFormatting>
  <conditionalFormatting sqref="J18 L18 N18">
    <cfRule type="cellIs" priority="78" dxfId="1" operator="greaterThan" stopIfTrue="1">
      <formula>0</formula>
    </cfRule>
  </conditionalFormatting>
  <conditionalFormatting sqref="H18">
    <cfRule type="cellIs" priority="79" dxfId="1" operator="greaterThan" stopIfTrue="1">
      <formula>0</formula>
    </cfRule>
  </conditionalFormatting>
  <conditionalFormatting sqref="F18">
    <cfRule type="cellIs" priority="80" dxfId="1" operator="greaterThan" stopIfTrue="1">
      <formula>0</formula>
    </cfRule>
  </conditionalFormatting>
  <conditionalFormatting sqref="E16">
    <cfRule type="expression" priority="81" dxfId="1" stopIfTrue="1">
      <formula>LEN(TRIM(E16))&gt;0</formula>
    </cfRule>
  </conditionalFormatting>
  <conditionalFormatting sqref="E17">
    <cfRule type="expression" priority="82" dxfId="1" stopIfTrue="1">
      <formula>LEN(TRIM(E17))&gt;0</formula>
    </cfRule>
  </conditionalFormatting>
  <conditionalFormatting sqref="E18">
    <cfRule type="expression" priority="83" dxfId="1" stopIfTrue="1">
      <formula>LEN(TRIM(E18))&gt;0</formula>
    </cfRule>
  </conditionalFormatting>
  <conditionalFormatting sqref="G15">
    <cfRule type="expression" priority="84" dxfId="1" stopIfTrue="1">
      <formula>LEN(TRIM(G15))&gt;0</formula>
    </cfRule>
  </conditionalFormatting>
  <conditionalFormatting sqref="G16">
    <cfRule type="expression" priority="85" dxfId="1" stopIfTrue="1">
      <formula>LEN(TRIM(G16))&gt;0</formula>
    </cfRule>
  </conditionalFormatting>
  <conditionalFormatting sqref="G17">
    <cfRule type="expression" priority="86" dxfId="1" stopIfTrue="1">
      <formula>LEN(TRIM(G17))&gt;0</formula>
    </cfRule>
  </conditionalFormatting>
  <conditionalFormatting sqref="G18">
    <cfRule type="expression" priority="87" dxfId="1" stopIfTrue="1">
      <formula>LEN(TRIM(G18))&gt;0</formula>
    </cfRule>
  </conditionalFormatting>
  <conditionalFormatting sqref="I16">
    <cfRule type="expression" priority="88" dxfId="1" stopIfTrue="1">
      <formula>LEN(TRIM(I16))&gt;0</formula>
    </cfRule>
  </conditionalFormatting>
  <conditionalFormatting sqref="I17">
    <cfRule type="expression" priority="89" dxfId="1" stopIfTrue="1">
      <formula>LEN(TRIM(I17))&gt;0</formula>
    </cfRule>
  </conditionalFormatting>
  <conditionalFormatting sqref="I18">
    <cfRule type="expression" priority="90" dxfId="1" stopIfTrue="1">
      <formula>LEN(TRIM(I18))&gt;0</formula>
    </cfRule>
  </conditionalFormatting>
  <conditionalFormatting sqref="K16">
    <cfRule type="expression" priority="91" dxfId="1" stopIfTrue="1">
      <formula>LEN(TRIM(K16))&gt;0</formula>
    </cfRule>
  </conditionalFormatting>
  <conditionalFormatting sqref="K17">
    <cfRule type="expression" priority="92" dxfId="1" stopIfTrue="1">
      <formula>LEN(TRIM(K17))&gt;0</formula>
    </cfRule>
  </conditionalFormatting>
  <conditionalFormatting sqref="K18">
    <cfRule type="expression" priority="93" dxfId="1" stopIfTrue="1">
      <formula>LEN(TRIM(K18))&gt;0</formula>
    </cfRule>
  </conditionalFormatting>
  <conditionalFormatting sqref="M16">
    <cfRule type="expression" priority="94" dxfId="1" stopIfTrue="1">
      <formula>LEN(TRIM(M16))&gt;0</formula>
    </cfRule>
  </conditionalFormatting>
  <conditionalFormatting sqref="M17">
    <cfRule type="expression" priority="95" dxfId="1" stopIfTrue="1">
      <formula>LEN(TRIM(M17))&gt;0</formula>
    </cfRule>
  </conditionalFormatting>
  <conditionalFormatting sqref="M18">
    <cfRule type="expression" priority="96" dxfId="1" stopIfTrue="1">
      <formula>LEN(TRIM(M18))&gt;0</formula>
    </cfRule>
  </conditionalFormatting>
  <conditionalFormatting sqref="O16">
    <cfRule type="expression" priority="97" dxfId="1" stopIfTrue="1">
      <formula>LEN(TRIM(O16))&gt;0</formula>
    </cfRule>
  </conditionalFormatting>
  <conditionalFormatting sqref="O17">
    <cfRule type="expression" priority="98" dxfId="1" stopIfTrue="1">
      <formula>LEN(TRIM(O17))&gt;0</formula>
    </cfRule>
  </conditionalFormatting>
  <conditionalFormatting sqref="O18">
    <cfRule type="expression" priority="99" dxfId="1" stopIfTrue="1">
      <formula>LEN(TRIM(O18))&gt;0</formula>
    </cfRule>
  </conditionalFormatting>
  <conditionalFormatting sqref="E25">
    <cfRule type="expression" priority="100" dxfId="1" stopIfTrue="1">
      <formula>LEN(TRIM(E25))&gt;0</formula>
    </cfRule>
  </conditionalFormatting>
  <conditionalFormatting sqref="E26:E27">
    <cfRule type="expression" priority="101" dxfId="1" stopIfTrue="1">
      <formula>LEN(TRIM(E26))&gt;0</formula>
    </cfRule>
  </conditionalFormatting>
  <conditionalFormatting sqref="G25">
    <cfRule type="expression" priority="102" dxfId="1" stopIfTrue="1">
      <formula>LEN(TRIM(G25))&gt;0</formula>
    </cfRule>
  </conditionalFormatting>
  <conditionalFormatting sqref="G26:G27">
    <cfRule type="expression" priority="103" dxfId="1" stopIfTrue="1">
      <formula>LEN(TRIM(G26))&gt;0</formula>
    </cfRule>
  </conditionalFormatting>
  <conditionalFormatting sqref="I25">
    <cfRule type="expression" priority="104" dxfId="1" stopIfTrue="1">
      <formula>LEN(TRIM(I25))&gt;0</formula>
    </cfRule>
  </conditionalFormatting>
  <conditionalFormatting sqref="I26:I27">
    <cfRule type="expression" priority="105" dxfId="1" stopIfTrue="1">
      <formula>LEN(TRIM(I26))&gt;0</formula>
    </cfRule>
  </conditionalFormatting>
  <conditionalFormatting sqref="K25">
    <cfRule type="expression" priority="106" dxfId="1" stopIfTrue="1">
      <formula>LEN(TRIM(K25))&gt;0</formula>
    </cfRule>
  </conditionalFormatting>
  <conditionalFormatting sqref="K26:K27">
    <cfRule type="expression" priority="107" dxfId="1" stopIfTrue="1">
      <formula>LEN(TRIM(K26))&gt;0</formula>
    </cfRule>
  </conditionalFormatting>
  <conditionalFormatting sqref="M25">
    <cfRule type="expression" priority="108" dxfId="1" stopIfTrue="1">
      <formula>LEN(TRIM(M25))&gt;0</formula>
    </cfRule>
  </conditionalFormatting>
  <conditionalFormatting sqref="M26:M27">
    <cfRule type="expression" priority="109" dxfId="1" stopIfTrue="1">
      <formula>LEN(TRIM(M26))&gt;0</formula>
    </cfRule>
  </conditionalFormatting>
  <conditionalFormatting sqref="O25">
    <cfRule type="expression" priority="110" dxfId="1" stopIfTrue="1">
      <formula>LEN(TRIM(O25))&gt;0</formula>
    </cfRule>
  </conditionalFormatting>
  <conditionalFormatting sqref="O26:O27">
    <cfRule type="expression" priority="111" dxfId="1" stopIfTrue="1">
      <formula>LEN(TRIM(O26))&gt;0</formula>
    </cfRule>
  </conditionalFormatting>
  <conditionalFormatting sqref="E30">
    <cfRule type="expression" priority="112" dxfId="1" stopIfTrue="1">
      <formula>LEN(TRIM(E30))&gt;0</formula>
    </cfRule>
  </conditionalFormatting>
  <conditionalFormatting sqref="E31:E36">
    <cfRule type="expression" priority="113" dxfId="1" stopIfTrue="1">
      <formula>LEN(TRIM(E31))&gt;0</formula>
    </cfRule>
  </conditionalFormatting>
  <conditionalFormatting sqref="G30">
    <cfRule type="expression" priority="114" dxfId="1" stopIfTrue="1">
      <formula>LEN(TRIM(G30))&gt;0</formula>
    </cfRule>
  </conditionalFormatting>
  <conditionalFormatting sqref="G31:G36">
    <cfRule type="expression" priority="115" dxfId="1" stopIfTrue="1">
      <formula>LEN(TRIM(G31))&gt;0</formula>
    </cfRule>
  </conditionalFormatting>
  <conditionalFormatting sqref="I30">
    <cfRule type="expression" priority="116" dxfId="1" stopIfTrue="1">
      <formula>LEN(TRIM(I30))&gt;0</formula>
    </cfRule>
  </conditionalFormatting>
  <conditionalFormatting sqref="I31:I36">
    <cfRule type="expression" priority="117" dxfId="1" stopIfTrue="1">
      <formula>LEN(TRIM(I31))&gt;0</formula>
    </cfRule>
  </conditionalFormatting>
  <conditionalFormatting sqref="K30">
    <cfRule type="expression" priority="118" dxfId="1" stopIfTrue="1">
      <formula>LEN(TRIM(K30))&gt;0</formula>
    </cfRule>
  </conditionalFormatting>
  <conditionalFormatting sqref="K31:K36">
    <cfRule type="expression" priority="119" dxfId="1" stopIfTrue="1">
      <formula>LEN(TRIM(K31))&gt;0</formula>
    </cfRule>
  </conditionalFormatting>
  <conditionalFormatting sqref="M30">
    <cfRule type="expression" priority="120" dxfId="1" stopIfTrue="1">
      <formula>LEN(TRIM(M30))&gt;0</formula>
    </cfRule>
  </conditionalFormatting>
  <conditionalFormatting sqref="M31:M36">
    <cfRule type="expression" priority="121" dxfId="1" stopIfTrue="1">
      <formula>LEN(TRIM(M31))&gt;0</formula>
    </cfRule>
  </conditionalFormatting>
  <conditionalFormatting sqref="O30">
    <cfRule type="expression" priority="122" dxfId="1" stopIfTrue="1">
      <formula>LEN(TRIM(O30))&gt;0</formula>
    </cfRule>
  </conditionalFormatting>
  <conditionalFormatting sqref="O31:O36">
    <cfRule type="expression" priority="123" dxfId="1" stopIfTrue="1">
      <formula>LEN(TRIM(O31))&gt;0</formula>
    </cfRule>
  </conditionalFormatting>
  <conditionalFormatting sqref="E39">
    <cfRule type="expression" priority="124" dxfId="1" stopIfTrue="1">
      <formula>LEN(TRIM(E39))&gt;0</formula>
    </cfRule>
  </conditionalFormatting>
  <conditionalFormatting sqref="E40:E44">
    <cfRule type="expression" priority="125" dxfId="1" stopIfTrue="1">
      <formula>LEN(TRIM(E40))&gt;0</formula>
    </cfRule>
  </conditionalFormatting>
  <conditionalFormatting sqref="G39">
    <cfRule type="expression" priority="126" dxfId="1" stopIfTrue="1">
      <formula>LEN(TRIM(G39))&gt;0</formula>
    </cfRule>
  </conditionalFormatting>
  <conditionalFormatting sqref="G40:G44">
    <cfRule type="expression" priority="127" dxfId="1" stopIfTrue="1">
      <formula>LEN(TRIM(G40))&gt;0</formula>
    </cfRule>
  </conditionalFormatting>
  <conditionalFormatting sqref="I39">
    <cfRule type="expression" priority="128" dxfId="1" stopIfTrue="1">
      <formula>LEN(TRIM(I39))&gt;0</formula>
    </cfRule>
  </conditionalFormatting>
  <conditionalFormatting sqref="I40:I44">
    <cfRule type="expression" priority="129" dxfId="1" stopIfTrue="1">
      <formula>LEN(TRIM(I40))&gt;0</formula>
    </cfRule>
  </conditionalFormatting>
  <conditionalFormatting sqref="K39">
    <cfRule type="expression" priority="130" dxfId="1" stopIfTrue="1">
      <formula>LEN(TRIM(K39))&gt;0</formula>
    </cfRule>
  </conditionalFormatting>
  <conditionalFormatting sqref="K40:K44">
    <cfRule type="expression" priority="131" dxfId="1" stopIfTrue="1">
      <formula>LEN(TRIM(K40))&gt;0</formula>
    </cfRule>
  </conditionalFormatting>
  <conditionalFormatting sqref="M39">
    <cfRule type="expression" priority="132" dxfId="1" stopIfTrue="1">
      <formula>LEN(TRIM(M39))&gt;0</formula>
    </cfRule>
  </conditionalFormatting>
  <conditionalFormatting sqref="M40:M44">
    <cfRule type="expression" priority="133" dxfId="1" stopIfTrue="1">
      <formula>LEN(TRIM(M40))&gt;0</formula>
    </cfRule>
  </conditionalFormatting>
  <conditionalFormatting sqref="O39">
    <cfRule type="expression" priority="134" dxfId="1" stopIfTrue="1">
      <formula>LEN(TRIM(O39))&gt;0</formula>
    </cfRule>
  </conditionalFormatting>
  <conditionalFormatting sqref="O40:O44">
    <cfRule type="expression" priority="135" dxfId="1" stopIfTrue="1">
      <formula>LEN(TRIM(O40))&gt;0</formula>
    </cfRule>
  </conditionalFormatting>
  <conditionalFormatting sqref="E47">
    <cfRule type="expression" priority="136" dxfId="1" stopIfTrue="1">
      <formula>LEN(TRIM(E47))&gt;0</formula>
    </cfRule>
  </conditionalFormatting>
  <conditionalFormatting sqref="E48">
    <cfRule type="expression" priority="137" dxfId="1" stopIfTrue="1">
      <formula>LEN(TRIM(E48))&gt;0</formula>
    </cfRule>
  </conditionalFormatting>
  <conditionalFormatting sqref="G47">
    <cfRule type="expression" priority="138" dxfId="1" stopIfTrue="1">
      <formula>LEN(TRIM(G47))&gt;0</formula>
    </cfRule>
  </conditionalFormatting>
  <conditionalFormatting sqref="G48">
    <cfRule type="expression" priority="139" dxfId="1" stopIfTrue="1">
      <formula>LEN(TRIM(G48))&gt;0</formula>
    </cfRule>
  </conditionalFormatting>
  <conditionalFormatting sqref="I47">
    <cfRule type="expression" priority="140" dxfId="1" stopIfTrue="1">
      <formula>LEN(TRIM(I47))&gt;0</formula>
    </cfRule>
  </conditionalFormatting>
  <conditionalFormatting sqref="I48">
    <cfRule type="expression" priority="141" dxfId="1" stopIfTrue="1">
      <formula>LEN(TRIM(I48))&gt;0</formula>
    </cfRule>
  </conditionalFormatting>
  <conditionalFormatting sqref="K47">
    <cfRule type="expression" priority="142" dxfId="1" stopIfTrue="1">
      <formula>LEN(TRIM(K47))&gt;0</formula>
    </cfRule>
  </conditionalFormatting>
  <conditionalFormatting sqref="K48">
    <cfRule type="expression" priority="143" dxfId="1" stopIfTrue="1">
      <formula>LEN(TRIM(K48))&gt;0</formula>
    </cfRule>
  </conditionalFormatting>
  <conditionalFormatting sqref="M47">
    <cfRule type="expression" priority="144" dxfId="1" stopIfTrue="1">
      <formula>LEN(TRIM(M47))&gt;0</formula>
    </cfRule>
  </conditionalFormatting>
  <conditionalFormatting sqref="M48">
    <cfRule type="expression" priority="145" dxfId="1" stopIfTrue="1">
      <formula>LEN(TRIM(M48))&gt;0</formula>
    </cfRule>
  </conditionalFormatting>
  <conditionalFormatting sqref="O47">
    <cfRule type="expression" priority="146" dxfId="1" stopIfTrue="1">
      <formula>LEN(TRIM(O47))&gt;0</formula>
    </cfRule>
  </conditionalFormatting>
  <conditionalFormatting sqref="O48">
    <cfRule type="expression" priority="147" dxfId="1" stopIfTrue="1">
      <formula>LEN(TRIM(O48))&gt;0</formula>
    </cfRule>
  </conditionalFormatting>
  <conditionalFormatting sqref="E58">
    <cfRule type="expression" priority="148" dxfId="1" stopIfTrue="1">
      <formula>LEN(TRIM(E58))&gt;0</formula>
    </cfRule>
  </conditionalFormatting>
  <conditionalFormatting sqref="E59:E62">
    <cfRule type="expression" priority="149" dxfId="1" stopIfTrue="1">
      <formula>LEN(TRIM(E59))&gt;0</formula>
    </cfRule>
  </conditionalFormatting>
  <conditionalFormatting sqref="G58">
    <cfRule type="expression" priority="150" dxfId="1" stopIfTrue="1">
      <formula>LEN(TRIM(G58))&gt;0</formula>
    </cfRule>
  </conditionalFormatting>
  <conditionalFormatting sqref="G59:G62">
    <cfRule type="expression" priority="151" dxfId="1" stopIfTrue="1">
      <formula>LEN(TRIM(G59))&gt;0</formula>
    </cfRule>
  </conditionalFormatting>
  <conditionalFormatting sqref="I58">
    <cfRule type="expression" priority="152" dxfId="1" stopIfTrue="1">
      <formula>LEN(TRIM(I58))&gt;0</formula>
    </cfRule>
  </conditionalFormatting>
  <conditionalFormatting sqref="I59:I62">
    <cfRule type="expression" priority="153" dxfId="1" stopIfTrue="1">
      <formula>LEN(TRIM(I59))&gt;0</formula>
    </cfRule>
  </conditionalFormatting>
  <conditionalFormatting sqref="K58">
    <cfRule type="expression" priority="154" dxfId="1" stopIfTrue="1">
      <formula>LEN(TRIM(K58))&gt;0</formula>
    </cfRule>
  </conditionalFormatting>
  <conditionalFormatting sqref="K59:K62">
    <cfRule type="expression" priority="155" dxfId="1" stopIfTrue="1">
      <formula>LEN(TRIM(K59))&gt;0</formula>
    </cfRule>
  </conditionalFormatting>
  <conditionalFormatting sqref="M58">
    <cfRule type="expression" priority="156" dxfId="1" stopIfTrue="1">
      <formula>LEN(TRIM(M58))&gt;0</formula>
    </cfRule>
  </conditionalFormatting>
  <conditionalFormatting sqref="M59:M62">
    <cfRule type="expression" priority="157" dxfId="1" stopIfTrue="1">
      <formula>LEN(TRIM(M59))&gt;0</formula>
    </cfRule>
  </conditionalFormatting>
  <conditionalFormatting sqref="O58">
    <cfRule type="expression" priority="158" dxfId="1" stopIfTrue="1">
      <formula>LEN(TRIM(O58))&gt;0</formula>
    </cfRule>
  </conditionalFormatting>
  <conditionalFormatting sqref="O59:O62">
    <cfRule type="expression" priority="159" dxfId="1" stopIfTrue="1">
      <formula>LEN(TRIM(O59))&gt;0</formula>
    </cfRule>
  </conditionalFormatting>
  <conditionalFormatting sqref="E65">
    <cfRule type="expression" priority="160" dxfId="1" stopIfTrue="1">
      <formula>LEN(TRIM(E65))&gt;0</formula>
    </cfRule>
  </conditionalFormatting>
  <conditionalFormatting sqref="E66:E69">
    <cfRule type="expression" priority="161" dxfId="1" stopIfTrue="1">
      <formula>LEN(TRIM(E66))&gt;0</formula>
    </cfRule>
  </conditionalFormatting>
  <conditionalFormatting sqref="G65">
    <cfRule type="expression" priority="162" dxfId="1" stopIfTrue="1">
      <formula>LEN(TRIM(G65))&gt;0</formula>
    </cfRule>
  </conditionalFormatting>
  <conditionalFormatting sqref="G66:G69">
    <cfRule type="expression" priority="163" dxfId="1" stopIfTrue="1">
      <formula>LEN(TRIM(G66))&gt;0</formula>
    </cfRule>
  </conditionalFormatting>
  <conditionalFormatting sqref="I65">
    <cfRule type="expression" priority="164" dxfId="1" stopIfTrue="1">
      <formula>LEN(TRIM(I65))&gt;0</formula>
    </cfRule>
  </conditionalFormatting>
  <conditionalFormatting sqref="I66:I69">
    <cfRule type="expression" priority="165" dxfId="1" stopIfTrue="1">
      <formula>LEN(TRIM(I66))&gt;0</formula>
    </cfRule>
  </conditionalFormatting>
  <conditionalFormatting sqref="K65">
    <cfRule type="expression" priority="166" dxfId="1" stopIfTrue="1">
      <formula>LEN(TRIM(K65))&gt;0</formula>
    </cfRule>
  </conditionalFormatting>
  <conditionalFormatting sqref="K66:K69">
    <cfRule type="expression" priority="167" dxfId="1" stopIfTrue="1">
      <formula>LEN(TRIM(K66))&gt;0</formula>
    </cfRule>
  </conditionalFormatting>
  <conditionalFormatting sqref="M65">
    <cfRule type="expression" priority="168" dxfId="1" stopIfTrue="1">
      <formula>LEN(TRIM(M65))&gt;0</formula>
    </cfRule>
  </conditionalFormatting>
  <conditionalFormatting sqref="M66:M69">
    <cfRule type="expression" priority="169" dxfId="1" stopIfTrue="1">
      <formula>LEN(TRIM(M66))&gt;0</formula>
    </cfRule>
  </conditionalFormatting>
  <conditionalFormatting sqref="O65">
    <cfRule type="expression" priority="170" dxfId="1" stopIfTrue="1">
      <formula>LEN(TRIM(O65))&gt;0</formula>
    </cfRule>
  </conditionalFormatting>
  <conditionalFormatting sqref="O66:O69">
    <cfRule type="expression" priority="171" dxfId="1" stopIfTrue="1">
      <formula>LEN(TRIM(O66))&gt;0</formula>
    </cfRule>
  </conditionalFormatting>
  <conditionalFormatting sqref="E72">
    <cfRule type="expression" priority="172" dxfId="1" stopIfTrue="1">
      <formula>LEN(TRIM(E72))&gt;0</formula>
    </cfRule>
  </conditionalFormatting>
  <conditionalFormatting sqref="E73">
    <cfRule type="expression" priority="173" dxfId="1" stopIfTrue="1">
      <formula>LEN(TRIM(E73))&gt;0</formula>
    </cfRule>
  </conditionalFormatting>
  <conditionalFormatting sqref="G72">
    <cfRule type="expression" priority="174" dxfId="1" stopIfTrue="1">
      <formula>LEN(TRIM(G72))&gt;0</formula>
    </cfRule>
  </conditionalFormatting>
  <conditionalFormatting sqref="G73">
    <cfRule type="expression" priority="175" dxfId="1" stopIfTrue="1">
      <formula>LEN(TRIM(G73))&gt;0</formula>
    </cfRule>
  </conditionalFormatting>
  <conditionalFormatting sqref="I72">
    <cfRule type="expression" priority="176" dxfId="1" stopIfTrue="1">
      <formula>LEN(TRIM(I72))&gt;0</formula>
    </cfRule>
  </conditionalFormatting>
  <conditionalFormatting sqref="I73">
    <cfRule type="expression" priority="177" dxfId="1" stopIfTrue="1">
      <formula>LEN(TRIM(I73))&gt;0</formula>
    </cfRule>
  </conditionalFormatting>
  <conditionalFormatting sqref="K72">
    <cfRule type="expression" priority="178" dxfId="1" stopIfTrue="1">
      <formula>LEN(TRIM(K72))&gt;0</formula>
    </cfRule>
  </conditionalFormatting>
  <conditionalFormatting sqref="K73">
    <cfRule type="expression" priority="179" dxfId="1" stopIfTrue="1">
      <formula>LEN(TRIM(K73))&gt;0</formula>
    </cfRule>
  </conditionalFormatting>
  <conditionalFormatting sqref="M72">
    <cfRule type="expression" priority="180" dxfId="1" stopIfTrue="1">
      <formula>LEN(TRIM(M72))&gt;0</formula>
    </cfRule>
  </conditionalFormatting>
  <conditionalFormatting sqref="M73">
    <cfRule type="expression" priority="181" dxfId="1" stopIfTrue="1">
      <formula>LEN(TRIM(M73))&gt;0</formula>
    </cfRule>
  </conditionalFormatting>
  <conditionalFormatting sqref="O72">
    <cfRule type="expression" priority="182" dxfId="1" stopIfTrue="1">
      <formula>LEN(TRIM(O72))&gt;0</formula>
    </cfRule>
  </conditionalFormatting>
  <conditionalFormatting sqref="O73">
    <cfRule type="expression" priority="183" dxfId="1" stopIfTrue="1">
      <formula>LEN(TRIM(O73))&gt;0</formula>
    </cfRule>
  </conditionalFormatting>
  <conditionalFormatting sqref="E76">
    <cfRule type="expression" priority="184" dxfId="1" stopIfTrue="1">
      <formula>LEN(TRIM(E76))&gt;0</formula>
    </cfRule>
  </conditionalFormatting>
  <conditionalFormatting sqref="E77:E78">
    <cfRule type="expression" priority="185" dxfId="1" stopIfTrue="1">
      <formula>LEN(TRIM(E77))&gt;0</formula>
    </cfRule>
  </conditionalFormatting>
  <conditionalFormatting sqref="G76">
    <cfRule type="expression" priority="186" dxfId="1" stopIfTrue="1">
      <formula>LEN(TRIM(G76))&gt;0</formula>
    </cfRule>
  </conditionalFormatting>
  <conditionalFormatting sqref="G77:G78">
    <cfRule type="expression" priority="187" dxfId="1" stopIfTrue="1">
      <formula>LEN(TRIM(G77))&gt;0</formula>
    </cfRule>
  </conditionalFormatting>
  <conditionalFormatting sqref="I76">
    <cfRule type="expression" priority="188" dxfId="1" stopIfTrue="1">
      <formula>LEN(TRIM(I76))&gt;0</formula>
    </cfRule>
  </conditionalFormatting>
  <conditionalFormatting sqref="I77:I78">
    <cfRule type="expression" priority="189" dxfId="1" stopIfTrue="1">
      <formula>LEN(TRIM(I77))&gt;0</formula>
    </cfRule>
  </conditionalFormatting>
  <conditionalFormatting sqref="K76">
    <cfRule type="expression" priority="190" dxfId="1" stopIfTrue="1">
      <formula>LEN(TRIM(K76))&gt;0</formula>
    </cfRule>
  </conditionalFormatting>
  <conditionalFormatting sqref="K77:K78">
    <cfRule type="expression" priority="191" dxfId="1" stopIfTrue="1">
      <formula>LEN(TRIM(K77))&gt;0</formula>
    </cfRule>
  </conditionalFormatting>
  <conditionalFormatting sqref="M76">
    <cfRule type="expression" priority="192" dxfId="1" stopIfTrue="1">
      <formula>LEN(TRIM(M76))&gt;0</formula>
    </cfRule>
  </conditionalFormatting>
  <conditionalFormatting sqref="M77:M78">
    <cfRule type="expression" priority="193" dxfId="1" stopIfTrue="1">
      <formula>LEN(TRIM(M77))&gt;0</formula>
    </cfRule>
  </conditionalFormatting>
  <conditionalFormatting sqref="O76">
    <cfRule type="expression" priority="194" dxfId="1" stopIfTrue="1">
      <formula>LEN(TRIM(O76))&gt;0</formula>
    </cfRule>
  </conditionalFormatting>
  <conditionalFormatting sqref="O77:O78">
    <cfRule type="expression" priority="195" dxfId="1" stopIfTrue="1">
      <formula>LEN(TRIM(O77))&gt;0</formula>
    </cfRule>
  </conditionalFormatting>
  <conditionalFormatting sqref="E81">
    <cfRule type="expression" priority="196" dxfId="1" stopIfTrue="1">
      <formula>LEN(TRIM(E81))&gt;0</formula>
    </cfRule>
  </conditionalFormatting>
  <conditionalFormatting sqref="E82:E85">
    <cfRule type="expression" priority="197" dxfId="1" stopIfTrue="1">
      <formula>LEN(TRIM(E82))&gt;0</formula>
    </cfRule>
  </conditionalFormatting>
  <conditionalFormatting sqref="G81">
    <cfRule type="expression" priority="198" dxfId="1" stopIfTrue="1">
      <formula>LEN(TRIM(G81))&gt;0</formula>
    </cfRule>
  </conditionalFormatting>
  <conditionalFormatting sqref="G82:G85">
    <cfRule type="expression" priority="199" dxfId="1" stopIfTrue="1">
      <formula>LEN(TRIM(G82))&gt;0</formula>
    </cfRule>
  </conditionalFormatting>
  <conditionalFormatting sqref="I81">
    <cfRule type="expression" priority="200" dxfId="1" stopIfTrue="1">
      <formula>LEN(TRIM(I81))&gt;0</formula>
    </cfRule>
  </conditionalFormatting>
  <conditionalFormatting sqref="I82:I85">
    <cfRule type="expression" priority="201" dxfId="1" stopIfTrue="1">
      <formula>LEN(TRIM(I82))&gt;0</formula>
    </cfRule>
  </conditionalFormatting>
  <conditionalFormatting sqref="K81">
    <cfRule type="expression" priority="202" dxfId="1" stopIfTrue="1">
      <formula>LEN(TRIM(K81))&gt;0</formula>
    </cfRule>
  </conditionalFormatting>
  <conditionalFormatting sqref="K82:K85">
    <cfRule type="expression" priority="203" dxfId="1" stopIfTrue="1">
      <formula>LEN(TRIM(K82))&gt;0</formula>
    </cfRule>
  </conditionalFormatting>
  <conditionalFormatting sqref="M81">
    <cfRule type="expression" priority="204" dxfId="1" stopIfTrue="1">
      <formula>LEN(TRIM(M81))&gt;0</formula>
    </cfRule>
  </conditionalFormatting>
  <conditionalFormatting sqref="M82:M85">
    <cfRule type="expression" priority="205" dxfId="1" stopIfTrue="1">
      <formula>LEN(TRIM(M82))&gt;0</formula>
    </cfRule>
  </conditionalFormatting>
  <conditionalFormatting sqref="O81">
    <cfRule type="expression" priority="206" dxfId="1" stopIfTrue="1">
      <formula>LEN(TRIM(O81))&gt;0</formula>
    </cfRule>
  </conditionalFormatting>
  <conditionalFormatting sqref="O82:O85">
    <cfRule type="expression" priority="207" dxfId="1" stopIfTrue="1">
      <formula>LEN(TRIM(O82))&gt;0</formula>
    </cfRule>
  </conditionalFormatting>
  <conditionalFormatting sqref="E88">
    <cfRule type="expression" priority="208" dxfId="1" stopIfTrue="1">
      <formula>LEN(TRIM(E88))&gt;0</formula>
    </cfRule>
  </conditionalFormatting>
  <conditionalFormatting sqref="E89:E90">
    <cfRule type="expression" priority="209" dxfId="1" stopIfTrue="1">
      <formula>LEN(TRIM(E89))&gt;0</formula>
    </cfRule>
  </conditionalFormatting>
  <conditionalFormatting sqref="G88">
    <cfRule type="expression" priority="210" dxfId="1" stopIfTrue="1">
      <formula>LEN(TRIM(G88))&gt;0</formula>
    </cfRule>
  </conditionalFormatting>
  <conditionalFormatting sqref="G89:G90">
    <cfRule type="expression" priority="211" dxfId="1" stopIfTrue="1">
      <formula>LEN(TRIM(G89))&gt;0</formula>
    </cfRule>
  </conditionalFormatting>
  <conditionalFormatting sqref="I88">
    <cfRule type="expression" priority="212" dxfId="1" stopIfTrue="1">
      <formula>LEN(TRIM(I88))&gt;0</formula>
    </cfRule>
  </conditionalFormatting>
  <conditionalFormatting sqref="I89:I90">
    <cfRule type="expression" priority="213" dxfId="1" stopIfTrue="1">
      <formula>LEN(TRIM(I89))&gt;0</formula>
    </cfRule>
  </conditionalFormatting>
  <conditionalFormatting sqref="K88">
    <cfRule type="expression" priority="214" dxfId="1" stopIfTrue="1">
      <formula>LEN(TRIM(K88))&gt;0</formula>
    </cfRule>
  </conditionalFormatting>
  <conditionalFormatting sqref="K89:K90">
    <cfRule type="expression" priority="215" dxfId="1" stopIfTrue="1">
      <formula>LEN(TRIM(K89))&gt;0</formula>
    </cfRule>
  </conditionalFormatting>
  <conditionalFormatting sqref="M88">
    <cfRule type="expression" priority="216" dxfId="1" stopIfTrue="1">
      <formula>LEN(TRIM(M88))&gt;0</formula>
    </cfRule>
  </conditionalFormatting>
  <conditionalFormatting sqref="M89:M90">
    <cfRule type="expression" priority="217" dxfId="1" stopIfTrue="1">
      <formula>LEN(TRIM(M89))&gt;0</formula>
    </cfRule>
  </conditionalFormatting>
  <conditionalFormatting sqref="O88">
    <cfRule type="expression" priority="218" dxfId="1" stopIfTrue="1">
      <formula>LEN(TRIM(O88))&gt;0</formula>
    </cfRule>
  </conditionalFormatting>
  <conditionalFormatting sqref="O89:O90">
    <cfRule type="expression" priority="219" dxfId="1" stopIfTrue="1">
      <formula>LEN(TRIM(O89))&gt;0</formula>
    </cfRule>
  </conditionalFormatting>
  <conditionalFormatting sqref="E93">
    <cfRule type="expression" priority="220" dxfId="1" stopIfTrue="1">
      <formula>LEN(TRIM(E93))&gt;0</formula>
    </cfRule>
  </conditionalFormatting>
  <conditionalFormatting sqref="E94:E95">
    <cfRule type="expression" priority="221" dxfId="1" stopIfTrue="1">
      <formula>LEN(TRIM(E94))&gt;0</formula>
    </cfRule>
  </conditionalFormatting>
  <conditionalFormatting sqref="G93">
    <cfRule type="expression" priority="222" dxfId="1" stopIfTrue="1">
      <formula>LEN(TRIM(G93))&gt;0</formula>
    </cfRule>
  </conditionalFormatting>
  <conditionalFormatting sqref="G94:G95">
    <cfRule type="expression" priority="223" dxfId="1" stopIfTrue="1">
      <formula>LEN(TRIM(G94))&gt;0</formula>
    </cfRule>
  </conditionalFormatting>
  <conditionalFormatting sqref="I93">
    <cfRule type="expression" priority="224" dxfId="1" stopIfTrue="1">
      <formula>LEN(TRIM(I93))&gt;0</formula>
    </cfRule>
  </conditionalFormatting>
  <conditionalFormatting sqref="I94:I95">
    <cfRule type="expression" priority="225" dxfId="1" stopIfTrue="1">
      <formula>LEN(TRIM(I94))&gt;0</formula>
    </cfRule>
  </conditionalFormatting>
  <conditionalFormatting sqref="K93">
    <cfRule type="expression" priority="226" dxfId="1" stopIfTrue="1">
      <formula>LEN(TRIM(K93))&gt;0</formula>
    </cfRule>
  </conditionalFormatting>
  <conditionalFormatting sqref="K94:K95">
    <cfRule type="expression" priority="227" dxfId="1" stopIfTrue="1">
      <formula>LEN(TRIM(K94))&gt;0</formula>
    </cfRule>
  </conditionalFormatting>
  <conditionalFormatting sqref="M93">
    <cfRule type="expression" priority="228" dxfId="1" stopIfTrue="1">
      <formula>LEN(TRIM(M93))&gt;0</formula>
    </cfRule>
  </conditionalFormatting>
  <conditionalFormatting sqref="M94:M95">
    <cfRule type="expression" priority="229" dxfId="1" stopIfTrue="1">
      <formula>LEN(TRIM(M94))&gt;0</formula>
    </cfRule>
  </conditionalFormatting>
  <conditionalFormatting sqref="O93">
    <cfRule type="expression" priority="230" dxfId="1" stopIfTrue="1">
      <formula>LEN(TRIM(O93))&gt;0</formula>
    </cfRule>
  </conditionalFormatting>
  <conditionalFormatting sqref="O94:O95">
    <cfRule type="expression" priority="231" dxfId="1" stopIfTrue="1">
      <formula>LEN(TRIM(O94))&gt;0</formula>
    </cfRule>
  </conditionalFormatting>
  <conditionalFormatting sqref="E98">
    <cfRule type="expression" priority="232" dxfId="1" stopIfTrue="1">
      <formula>LEN(TRIM(E98))&gt;0</formula>
    </cfRule>
  </conditionalFormatting>
  <conditionalFormatting sqref="E99:E100">
    <cfRule type="expression" priority="233" dxfId="1" stopIfTrue="1">
      <formula>LEN(TRIM(E99))&gt;0</formula>
    </cfRule>
  </conditionalFormatting>
  <conditionalFormatting sqref="G98">
    <cfRule type="expression" priority="234" dxfId="1" stopIfTrue="1">
      <formula>LEN(TRIM(G98))&gt;0</formula>
    </cfRule>
  </conditionalFormatting>
  <conditionalFormatting sqref="G99:G100">
    <cfRule type="expression" priority="235" dxfId="1" stopIfTrue="1">
      <formula>LEN(TRIM(G99))&gt;0</formula>
    </cfRule>
  </conditionalFormatting>
  <conditionalFormatting sqref="I98">
    <cfRule type="expression" priority="236" dxfId="1" stopIfTrue="1">
      <formula>LEN(TRIM(I98))&gt;0</formula>
    </cfRule>
  </conditionalFormatting>
  <conditionalFormatting sqref="I99:I100">
    <cfRule type="expression" priority="237" dxfId="1" stopIfTrue="1">
      <formula>LEN(TRIM(I99))&gt;0</formula>
    </cfRule>
  </conditionalFormatting>
  <conditionalFormatting sqref="K98">
    <cfRule type="expression" priority="238" dxfId="1" stopIfTrue="1">
      <formula>LEN(TRIM(K98))&gt;0</formula>
    </cfRule>
  </conditionalFormatting>
  <conditionalFormatting sqref="K99:K100">
    <cfRule type="expression" priority="239" dxfId="1" stopIfTrue="1">
      <formula>LEN(TRIM(K99))&gt;0</formula>
    </cfRule>
  </conditionalFormatting>
  <conditionalFormatting sqref="M98">
    <cfRule type="expression" priority="240" dxfId="1" stopIfTrue="1">
      <formula>LEN(TRIM(M98))&gt;0</formula>
    </cfRule>
  </conditionalFormatting>
  <conditionalFormatting sqref="M99:M100">
    <cfRule type="expression" priority="241" dxfId="1" stopIfTrue="1">
      <formula>LEN(TRIM(M99))&gt;0</formula>
    </cfRule>
  </conditionalFormatting>
  <conditionalFormatting sqref="O98">
    <cfRule type="expression" priority="242" dxfId="1" stopIfTrue="1">
      <formula>LEN(TRIM(O98))&gt;0</formula>
    </cfRule>
  </conditionalFormatting>
  <conditionalFormatting sqref="O99:O100">
    <cfRule type="expression" priority="243" dxfId="1" stopIfTrue="1">
      <formula>LEN(TRIM(O99))&gt;0</formula>
    </cfRule>
  </conditionalFormatting>
  <conditionalFormatting sqref="E103">
    <cfRule type="expression" priority="244" dxfId="1" stopIfTrue="1">
      <formula>LEN(TRIM(E103))&gt;0</formula>
    </cfRule>
  </conditionalFormatting>
  <conditionalFormatting sqref="G103">
    <cfRule type="expression" priority="245" dxfId="1" stopIfTrue="1">
      <formula>LEN(TRIM(G103))&gt;0</formula>
    </cfRule>
  </conditionalFormatting>
  <conditionalFormatting sqref="I103">
    <cfRule type="expression" priority="246" dxfId="1" stopIfTrue="1">
      <formula>LEN(TRIM(I103))&gt;0</formula>
    </cfRule>
  </conditionalFormatting>
  <conditionalFormatting sqref="K103">
    <cfRule type="expression" priority="247" dxfId="1" stopIfTrue="1">
      <formula>LEN(TRIM(K103))&gt;0</formula>
    </cfRule>
  </conditionalFormatting>
  <conditionalFormatting sqref="M103">
    <cfRule type="expression" priority="248" dxfId="1" stopIfTrue="1">
      <formula>LEN(TRIM(M103))&gt;0</formula>
    </cfRule>
  </conditionalFormatting>
  <conditionalFormatting sqref="O103">
    <cfRule type="expression" priority="249" dxfId="1" stopIfTrue="1">
      <formula>LEN(TRIM(O103))&gt;0</formula>
    </cfRule>
  </conditionalFormatting>
  <conditionalFormatting sqref="D112 D115:D116 F115:F116 H115:H116 J115:J116 L115:L116 N115:N116">
    <cfRule type="cellIs" priority="250" dxfId="1" operator="greaterThan" stopIfTrue="1">
      <formula>0</formula>
    </cfRule>
  </conditionalFormatting>
  <conditionalFormatting sqref="D110:E110 I110:O110">
    <cfRule type="expression" priority="251" dxfId="1" stopIfTrue="1">
      <formula>LEN(TRIM(D110))&gt;0</formula>
    </cfRule>
  </conditionalFormatting>
  <conditionalFormatting sqref="H110">
    <cfRule type="cellIs" priority="252" dxfId="1" operator="greaterThan" stopIfTrue="1">
      <formula>0</formula>
    </cfRule>
  </conditionalFormatting>
  <conditionalFormatting sqref="F110">
    <cfRule type="cellIs" priority="253" dxfId="1" operator="greaterThan" stopIfTrue="1">
      <formula>0</formula>
    </cfRule>
  </conditionalFormatting>
  <conditionalFormatting sqref="D111 J111 L111 N111">
    <cfRule type="cellIs" priority="254" dxfId="1" operator="greaterThan" stopIfTrue="1">
      <formula>0</formula>
    </cfRule>
  </conditionalFormatting>
  <conditionalFormatting sqref="H111">
    <cfRule type="cellIs" priority="255" dxfId="1" operator="greaterThan" stopIfTrue="1">
      <formula>0</formula>
    </cfRule>
  </conditionalFormatting>
  <conditionalFormatting sqref="F111">
    <cfRule type="cellIs" priority="256" dxfId="1" operator="greaterThan" stopIfTrue="1">
      <formula>0</formula>
    </cfRule>
  </conditionalFormatting>
  <conditionalFormatting sqref="J112 L112 N112">
    <cfRule type="cellIs" priority="257" dxfId="1" operator="greaterThan" stopIfTrue="1">
      <formula>0</formula>
    </cfRule>
  </conditionalFormatting>
  <conditionalFormatting sqref="H112">
    <cfRule type="cellIs" priority="258" dxfId="1" operator="greaterThan" stopIfTrue="1">
      <formula>0</formula>
    </cfRule>
  </conditionalFormatting>
  <conditionalFormatting sqref="F112">
    <cfRule type="cellIs" priority="259" dxfId="1" operator="greaterThan" stopIfTrue="1">
      <formula>0</formula>
    </cfRule>
  </conditionalFormatting>
  <conditionalFormatting sqref="E111">
    <cfRule type="expression" priority="260" dxfId="1" stopIfTrue="1">
      <formula>LEN(TRIM(E111))&gt;0</formula>
    </cfRule>
  </conditionalFormatting>
  <conditionalFormatting sqref="E112">
    <cfRule type="expression" priority="261" dxfId="1" stopIfTrue="1">
      <formula>LEN(TRIM(E112))&gt;0</formula>
    </cfRule>
  </conditionalFormatting>
  <conditionalFormatting sqref="G110">
    <cfRule type="expression" priority="262" dxfId="1" stopIfTrue="1">
      <formula>LEN(TRIM(G110))&gt;0</formula>
    </cfRule>
  </conditionalFormatting>
  <conditionalFormatting sqref="G111">
    <cfRule type="expression" priority="263" dxfId="1" stopIfTrue="1">
      <formula>LEN(TRIM(G111))&gt;0</formula>
    </cfRule>
  </conditionalFormatting>
  <conditionalFormatting sqref="G112">
    <cfRule type="expression" priority="264" dxfId="1" stopIfTrue="1">
      <formula>LEN(TRIM(G112))&gt;0</formula>
    </cfRule>
  </conditionalFormatting>
  <conditionalFormatting sqref="I111">
    <cfRule type="expression" priority="265" dxfId="1" stopIfTrue="1">
      <formula>LEN(TRIM(I111))&gt;0</formula>
    </cfRule>
  </conditionalFormatting>
  <conditionalFormatting sqref="I112">
    <cfRule type="expression" priority="266" dxfId="1" stopIfTrue="1">
      <formula>LEN(TRIM(I112))&gt;0</formula>
    </cfRule>
  </conditionalFormatting>
  <conditionalFormatting sqref="K111">
    <cfRule type="expression" priority="267" dxfId="1" stopIfTrue="1">
      <formula>LEN(TRIM(K111))&gt;0</formula>
    </cfRule>
  </conditionalFormatting>
  <conditionalFormatting sqref="K112">
    <cfRule type="expression" priority="268" dxfId="1" stopIfTrue="1">
      <formula>LEN(TRIM(K112))&gt;0</formula>
    </cfRule>
  </conditionalFormatting>
  <conditionalFormatting sqref="M111">
    <cfRule type="expression" priority="269" dxfId="1" stopIfTrue="1">
      <formula>LEN(TRIM(M111))&gt;0</formula>
    </cfRule>
  </conditionalFormatting>
  <conditionalFormatting sqref="M112">
    <cfRule type="expression" priority="270" dxfId="1" stopIfTrue="1">
      <formula>LEN(TRIM(M112))&gt;0</formula>
    </cfRule>
  </conditionalFormatting>
  <conditionalFormatting sqref="O111">
    <cfRule type="expression" priority="271" dxfId="1" stopIfTrue="1">
      <formula>LEN(TRIM(O111))&gt;0</formula>
    </cfRule>
  </conditionalFormatting>
  <conditionalFormatting sqref="O112">
    <cfRule type="expression" priority="272" dxfId="1" stopIfTrue="1">
      <formula>LEN(TRIM(O112))&gt;0</formula>
    </cfRule>
  </conditionalFormatting>
  <conditionalFormatting sqref="E115">
    <cfRule type="expression" priority="273" dxfId="1" stopIfTrue="1">
      <formula>LEN(TRIM(E115))&gt;0</formula>
    </cfRule>
  </conditionalFormatting>
  <conditionalFormatting sqref="E116">
    <cfRule type="expression" priority="274" dxfId="1" stopIfTrue="1">
      <formula>LEN(TRIM(E116))&gt;0</formula>
    </cfRule>
  </conditionalFormatting>
  <conditionalFormatting sqref="G115">
    <cfRule type="expression" priority="275" dxfId="1" stopIfTrue="1">
      <formula>LEN(TRIM(G115))&gt;0</formula>
    </cfRule>
  </conditionalFormatting>
  <conditionalFormatting sqref="G116">
    <cfRule type="expression" priority="276" dxfId="1" stopIfTrue="1">
      <formula>LEN(TRIM(G116))&gt;0</formula>
    </cfRule>
  </conditionalFormatting>
  <conditionalFormatting sqref="I115">
    <cfRule type="expression" priority="277" dxfId="1" stopIfTrue="1">
      <formula>LEN(TRIM(I115))&gt;0</formula>
    </cfRule>
  </conditionalFormatting>
  <conditionalFormatting sqref="I116">
    <cfRule type="expression" priority="278" dxfId="1" stopIfTrue="1">
      <formula>LEN(TRIM(I116))&gt;0</formula>
    </cfRule>
  </conditionalFormatting>
  <conditionalFormatting sqref="K115">
    <cfRule type="expression" priority="279" dxfId="1" stopIfTrue="1">
      <formula>LEN(TRIM(K115))&gt;0</formula>
    </cfRule>
  </conditionalFormatting>
  <conditionalFormatting sqref="K116">
    <cfRule type="expression" priority="280" dxfId="1" stopIfTrue="1">
      <formula>LEN(TRIM(K116))&gt;0</formula>
    </cfRule>
  </conditionalFormatting>
  <conditionalFormatting sqref="M115">
    <cfRule type="expression" priority="281" dxfId="1" stopIfTrue="1">
      <formula>LEN(TRIM(M115))&gt;0</formula>
    </cfRule>
  </conditionalFormatting>
  <conditionalFormatting sqref="M116">
    <cfRule type="expression" priority="282" dxfId="1" stopIfTrue="1">
      <formula>LEN(TRIM(M116))&gt;0</formula>
    </cfRule>
  </conditionalFormatting>
  <conditionalFormatting sqref="O115">
    <cfRule type="expression" priority="283" dxfId="1" stopIfTrue="1">
      <formula>LEN(TRIM(O115))&gt;0</formula>
    </cfRule>
  </conditionalFormatting>
  <conditionalFormatting sqref="O116">
    <cfRule type="expression" priority="284" dxfId="1" stopIfTrue="1">
      <formula>LEN(TRIM(O116))&gt;0</formula>
    </cfRule>
  </conditionalFormatting>
  <conditionalFormatting sqref="D51 J51 L51 N51">
    <cfRule type="cellIs" priority="285" dxfId="1" operator="greaterThan" stopIfTrue="1">
      <formula>0</formula>
    </cfRule>
  </conditionalFormatting>
  <conditionalFormatting sqref="H51">
    <cfRule type="cellIs" priority="286" dxfId="1" operator="greaterThan" stopIfTrue="1">
      <formula>0</formula>
    </cfRule>
  </conditionalFormatting>
  <conditionalFormatting sqref="F51">
    <cfRule type="cellIs" priority="287" dxfId="1" operator="greaterThan" stopIfTrue="1">
      <formula>0</formula>
    </cfRule>
  </conditionalFormatting>
  <conditionalFormatting sqref="E51">
    <cfRule type="expression" priority="288" dxfId="1" stopIfTrue="1">
      <formula>LEN(TRIM(E51))&gt;0</formula>
    </cfRule>
  </conditionalFormatting>
  <conditionalFormatting sqref="G51">
    <cfRule type="expression" priority="289" dxfId="1" stopIfTrue="1">
      <formula>LEN(TRIM(G51))&gt;0</formula>
    </cfRule>
  </conditionalFormatting>
  <conditionalFormatting sqref="I51">
    <cfRule type="expression" priority="290" dxfId="1" stopIfTrue="1">
      <formula>LEN(TRIM(I51))&gt;0</formula>
    </cfRule>
  </conditionalFormatting>
  <conditionalFormatting sqref="K51">
    <cfRule type="expression" priority="291" dxfId="1" stopIfTrue="1">
      <formula>LEN(TRIM(K51))&gt;0</formula>
    </cfRule>
  </conditionalFormatting>
  <conditionalFormatting sqref="M51">
    <cfRule type="expression" priority="292" dxfId="1" stopIfTrue="1">
      <formula>LEN(TRIM(M51))&gt;0</formula>
    </cfRule>
  </conditionalFormatting>
  <conditionalFormatting sqref="O51">
    <cfRule type="expression" priority="293" dxfId="1" stopIfTrue="1">
      <formula>LEN(TRIM(O51))&gt;0</formula>
    </cfRule>
  </conditionalFormatting>
  <conditionalFormatting sqref="J40 D40 L40 N40">
    <cfRule type="cellIs" priority="294" dxfId="1" operator="greaterThan" stopIfTrue="1">
      <formula>0</formula>
    </cfRule>
  </conditionalFormatting>
  <conditionalFormatting sqref="H40">
    <cfRule type="cellIs" priority="295" dxfId="1" operator="greaterThan" stopIfTrue="1">
      <formula>0</formula>
    </cfRule>
  </conditionalFormatting>
  <conditionalFormatting sqref="F40">
    <cfRule type="cellIs" priority="296" dxfId="1" operator="greaterThan" stopIfTrue="1">
      <formula>0</formula>
    </cfRule>
  </conditionalFormatting>
  <conditionalFormatting sqref="D119 F119 H119 J119 L119 N119">
    <cfRule type="cellIs" priority="297" dxfId="1" operator="greaterThan" stopIfTrue="1">
      <formula>0</formula>
    </cfRule>
  </conditionalFormatting>
  <conditionalFormatting sqref="E119">
    <cfRule type="expression" priority="298" dxfId="1" stopIfTrue="1">
      <formula>LEN(TRIM(E119))&gt;0</formula>
    </cfRule>
  </conditionalFormatting>
  <conditionalFormatting sqref="G119">
    <cfRule type="expression" priority="299" dxfId="1" stopIfTrue="1">
      <formula>LEN(TRIM(G119))&gt;0</formula>
    </cfRule>
  </conditionalFormatting>
  <conditionalFormatting sqref="I119">
    <cfRule type="expression" priority="300" dxfId="1" stopIfTrue="1">
      <formula>LEN(TRIM(I119))&gt;0</formula>
    </cfRule>
  </conditionalFormatting>
  <conditionalFormatting sqref="K119">
    <cfRule type="expression" priority="301" dxfId="1" stopIfTrue="1">
      <formula>LEN(TRIM(K119))&gt;0</formula>
    </cfRule>
  </conditionalFormatting>
  <conditionalFormatting sqref="M119">
    <cfRule type="expression" priority="302" dxfId="1" stopIfTrue="1">
      <formula>LEN(TRIM(M119))&gt;0</formula>
    </cfRule>
  </conditionalFormatting>
  <conditionalFormatting sqref="O119">
    <cfRule type="expression" priority="303" dxfId="1" stopIfTrue="1">
      <formula>LEN(TRIM(O119))&gt;0</formula>
    </cfRule>
  </conditionalFormatting>
  <conditionalFormatting sqref="F17">
    <cfRule type="cellIs" priority="304" dxfId="1" operator="greaterThan" stopIfTrue="1">
      <formula>0</formula>
    </cfRule>
  </conditionalFormatting>
  <conditionalFormatting sqref="H17">
    <cfRule type="cellIs" priority="305" dxfId="1" operator="greaterThan" stopIfTrue="1">
      <formula>0</formula>
    </cfRule>
  </conditionalFormatting>
  <conditionalFormatting sqref="J17">
    <cfRule type="cellIs" priority="306" dxfId="1" operator="greaterThan" stopIfTrue="1">
      <formula>0</formula>
    </cfRule>
  </conditionalFormatting>
  <conditionalFormatting sqref="L17">
    <cfRule type="cellIs" priority="307" dxfId="1" operator="greaterThan" stopIfTrue="1">
      <formula>0</formula>
    </cfRule>
  </conditionalFormatting>
  <printOptions/>
  <pageMargins left="0.2361111111111111" right="0.2361111111111111" top="0.7479166666666667" bottom="0.7486111111111111" header="0.5118055555555555" footer="0.31527777777777777"/>
  <pageSetup horizontalDpi="300" verticalDpi="300" orientation="landscape" paperSize="9" scale="46"/>
  <headerFooter alignWithMargins="0">
    <oddFooter>&amp;LCRONOGRAMA - Reforma do estacionamento, drenagem, paisagismo, sistema de irrigação, adequação do SPCI e demais intervenções complementares
Campus de Timóteo do CEFET-MG&amp;R&amp;P de &amp;N</oddFooter>
  </headerFooter>
  <rowBreaks count="2" manualBreakCount="2">
    <brk id="55" max="255" man="1"/>
    <brk id="107" max="255" man="1"/>
  </rowBreaks>
  <drawing r:id="rId1"/>
</worksheet>
</file>

<file path=xl/worksheets/sheet8.xml><?xml version="1.0" encoding="utf-8"?>
<worksheet xmlns="http://schemas.openxmlformats.org/spreadsheetml/2006/main" xmlns:r="http://schemas.openxmlformats.org/officeDocument/2006/relationships">
  <sheetPr>
    <tabColor indexed="21"/>
  </sheetPr>
  <dimension ref="A1:K842"/>
  <sheetViews>
    <sheetView view="pageBreakPreview" zoomScaleSheetLayoutView="100" workbookViewId="0" topLeftCell="A1">
      <selection activeCell="B9" sqref="B9"/>
    </sheetView>
  </sheetViews>
  <sheetFormatPr defaultColWidth="9.140625" defaultRowHeight="12.75"/>
  <cols>
    <col min="1" max="1" width="3.8515625" style="213" customWidth="1"/>
    <col min="2" max="2" width="19.7109375" style="213" customWidth="1"/>
    <col min="3" max="3" width="17.00390625" style="213" customWidth="1"/>
    <col min="4" max="4" width="41.7109375" style="213" customWidth="1"/>
    <col min="5" max="5" width="8.57421875" style="213" customWidth="1"/>
    <col min="6" max="6" width="25.00390625" style="213" customWidth="1"/>
    <col min="7" max="7" width="13.28125" style="213" customWidth="1"/>
    <col min="8" max="8" width="16.7109375" style="213" customWidth="1"/>
    <col min="9" max="9" width="9.140625" style="213" customWidth="1"/>
    <col min="10" max="10" width="12.00390625" style="213" customWidth="1"/>
    <col min="11" max="11" width="9.57421875" style="213" customWidth="1"/>
    <col min="12" max="16384" width="9.140625" style="213" customWidth="1"/>
  </cols>
  <sheetData>
    <row r="1" spans="2:8" ht="12.75">
      <c r="B1" s="214"/>
      <c r="C1" s="215"/>
      <c r="D1" s="215"/>
      <c r="E1" s="215"/>
      <c r="F1" s="215"/>
      <c r="G1" s="215"/>
      <c r="H1" s="216"/>
    </row>
    <row r="2" spans="2:8" ht="12.75">
      <c r="B2" s="217"/>
      <c r="C2" s="218"/>
      <c r="D2" s="218"/>
      <c r="E2" s="218"/>
      <c r="F2" s="218"/>
      <c r="G2" s="218"/>
      <c r="H2" s="219"/>
    </row>
    <row r="3" spans="2:8" ht="12.75">
      <c r="B3" s="217"/>
      <c r="C3" s="218"/>
      <c r="D3" s="218"/>
      <c r="E3" s="218"/>
      <c r="F3" s="218"/>
      <c r="G3" s="218"/>
      <c r="H3" s="219"/>
    </row>
    <row r="4" spans="2:8" ht="12.75">
      <c r="B4" s="217"/>
      <c r="C4" s="218"/>
      <c r="D4" s="218"/>
      <c r="E4" s="218"/>
      <c r="F4" s="218"/>
      <c r="G4" s="218"/>
      <c r="H4" s="219"/>
    </row>
    <row r="5" spans="2:8" ht="12.75">
      <c r="B5" s="217"/>
      <c r="C5" s="218"/>
      <c r="D5" s="218"/>
      <c r="E5" s="218"/>
      <c r="F5" s="218"/>
      <c r="G5" s="218"/>
      <c r="H5" s="219"/>
    </row>
    <row r="6" spans="2:8" ht="12.75">
      <c r="B6" s="217"/>
      <c r="C6" s="218"/>
      <c r="D6" s="218"/>
      <c r="E6" s="218"/>
      <c r="F6" s="218"/>
      <c r="G6" s="218"/>
      <c r="H6" s="219"/>
    </row>
    <row r="7" spans="2:8" ht="12.75">
      <c r="B7" s="217"/>
      <c r="C7" s="218"/>
      <c r="D7" s="218"/>
      <c r="E7" s="218"/>
      <c r="F7" s="218"/>
      <c r="G7" s="218"/>
      <c r="H7" s="219"/>
    </row>
    <row r="8" spans="2:8" ht="12.75">
      <c r="B8" s="220"/>
      <c r="C8" s="221"/>
      <c r="D8" s="221"/>
      <c r="E8" s="221"/>
      <c r="F8" s="221"/>
      <c r="G8" s="221"/>
      <c r="H8" s="222"/>
    </row>
    <row r="9" spans="2:9" ht="18">
      <c r="B9" s="223" t="s">
        <v>698</v>
      </c>
      <c r="C9" s="223"/>
      <c r="D9" s="223"/>
      <c r="E9" s="223"/>
      <c r="F9" s="223"/>
      <c r="G9" s="223"/>
      <c r="H9" s="223"/>
      <c r="I9" s="218"/>
    </row>
    <row r="10" spans="2:9" ht="12.75">
      <c r="B10" s="224"/>
      <c r="C10" s="225"/>
      <c r="D10" s="225"/>
      <c r="E10" s="225"/>
      <c r="F10" s="225"/>
      <c r="G10" s="225"/>
      <c r="H10" s="224"/>
      <c r="I10" s="218"/>
    </row>
    <row r="11" spans="1:8" ht="12.75" customHeight="1">
      <c r="A11" s="226"/>
      <c r="B11" s="227" t="s">
        <v>168</v>
      </c>
      <c r="C11" s="228"/>
      <c r="D11" s="229" t="s">
        <v>699</v>
      </c>
      <c r="E11" s="229"/>
      <c r="F11" s="229"/>
      <c r="G11" s="229"/>
      <c r="H11" s="230" t="s">
        <v>142</v>
      </c>
    </row>
    <row r="12" spans="1:8" ht="12.75">
      <c r="A12" s="226"/>
      <c r="B12" s="231" t="s">
        <v>700</v>
      </c>
      <c r="C12" s="232" t="s">
        <v>701</v>
      </c>
      <c r="D12" s="232" t="s">
        <v>702</v>
      </c>
      <c r="E12" s="233" t="s">
        <v>703</v>
      </c>
      <c r="F12" s="234" t="s">
        <v>704</v>
      </c>
      <c r="G12" s="232" t="s">
        <v>705</v>
      </c>
      <c r="H12" s="235" t="s">
        <v>706</v>
      </c>
    </row>
    <row r="13" spans="1:8" ht="89.25">
      <c r="A13" s="226"/>
      <c r="B13" s="236" t="s">
        <v>125</v>
      </c>
      <c r="C13" s="237">
        <v>90106</v>
      </c>
      <c r="D13" s="238" t="s">
        <v>707</v>
      </c>
      <c r="E13" s="239" t="s">
        <v>142</v>
      </c>
      <c r="F13" s="240">
        <v>0.6</v>
      </c>
      <c r="G13" s="241">
        <v>7.15</v>
      </c>
      <c r="H13" s="242">
        <f aca="true" t="shared" si="0" ref="H13:H14">ROUND(F13*G13,2)</f>
        <v>4.29</v>
      </c>
    </row>
    <row r="14" spans="1:8" ht="38.25">
      <c r="A14" s="226"/>
      <c r="B14" s="236" t="s">
        <v>125</v>
      </c>
      <c r="C14" s="237">
        <v>93358</v>
      </c>
      <c r="D14" s="238" t="s">
        <v>708</v>
      </c>
      <c r="E14" s="239" t="s">
        <v>142</v>
      </c>
      <c r="F14" s="240">
        <v>0.4</v>
      </c>
      <c r="G14" s="241">
        <v>64.12</v>
      </c>
      <c r="H14" s="242">
        <f t="shared" si="0"/>
        <v>25.65</v>
      </c>
    </row>
    <row r="15" spans="1:8" ht="12.75">
      <c r="A15" s="226"/>
      <c r="B15" s="243"/>
      <c r="C15" s="244"/>
      <c r="D15" s="245"/>
      <c r="E15" s="246"/>
      <c r="F15" s="247"/>
      <c r="G15" s="248"/>
      <c r="H15" s="249"/>
    </row>
    <row r="16" spans="1:8" ht="12.75">
      <c r="A16" s="226"/>
      <c r="B16" s="250" t="s">
        <v>709</v>
      </c>
      <c r="C16" s="251"/>
      <c r="D16" s="245"/>
      <c r="E16" s="252"/>
      <c r="F16" s="253"/>
      <c r="G16" s="254"/>
      <c r="H16" s="255"/>
    </row>
    <row r="17" spans="1:8" ht="12.75">
      <c r="A17" s="226"/>
      <c r="B17" s="256"/>
      <c r="C17" s="257"/>
      <c r="D17" s="258" t="s">
        <v>710</v>
      </c>
      <c r="E17" s="258"/>
      <c r="F17" s="258"/>
      <c r="G17" s="258"/>
      <c r="H17" s="259">
        <f>SUM(H13:H14)</f>
        <v>29.939999999999998</v>
      </c>
    </row>
    <row r="18" ht="12.75">
      <c r="A18" s="226"/>
    </row>
    <row r="19" ht="12.75">
      <c r="A19" s="226"/>
    </row>
    <row r="20" spans="1:8" ht="75" customHeight="1">
      <c r="A20" s="226"/>
      <c r="B20" s="227" t="s">
        <v>394</v>
      </c>
      <c r="C20" s="228"/>
      <c r="D20" s="229" t="s">
        <v>711</v>
      </c>
      <c r="E20" s="229"/>
      <c r="F20" s="229"/>
      <c r="G20" s="229"/>
      <c r="H20" s="230" t="s">
        <v>142</v>
      </c>
    </row>
    <row r="21" spans="1:8" ht="12.75">
      <c r="A21" s="226"/>
      <c r="B21" s="231" t="s">
        <v>700</v>
      </c>
      <c r="C21" s="232" t="s">
        <v>701</v>
      </c>
      <c r="D21" s="232" t="s">
        <v>702</v>
      </c>
      <c r="E21" s="233" t="s">
        <v>703</v>
      </c>
      <c r="F21" s="234" t="s">
        <v>704</v>
      </c>
      <c r="G21" s="232" t="s">
        <v>705</v>
      </c>
      <c r="H21" s="235" t="s">
        <v>706</v>
      </c>
    </row>
    <row r="22" spans="1:11" ht="25.5">
      <c r="A22" s="226"/>
      <c r="B22" s="236" t="s">
        <v>125</v>
      </c>
      <c r="C22" s="237">
        <v>88316</v>
      </c>
      <c r="D22" s="238" t="s">
        <v>712</v>
      </c>
      <c r="E22" s="239" t="s">
        <v>713</v>
      </c>
      <c r="F22" s="240">
        <v>0.1</v>
      </c>
      <c r="G22" s="241">
        <v>16.21</v>
      </c>
      <c r="H22" s="242">
        <f aca="true" t="shared" si="1" ref="H22:H25">ROUND(F22*G22,2)</f>
        <v>1.62</v>
      </c>
      <c r="K22" s="260"/>
    </row>
    <row r="23" spans="1:8" ht="63.75">
      <c r="A23" s="226"/>
      <c r="B23" s="236" t="s">
        <v>125</v>
      </c>
      <c r="C23" s="237">
        <v>5940</v>
      </c>
      <c r="D23" s="238" t="s">
        <v>714</v>
      </c>
      <c r="E23" s="239" t="s">
        <v>715</v>
      </c>
      <c r="F23" s="240">
        <v>0.0083</v>
      </c>
      <c r="G23" s="241">
        <v>208.11</v>
      </c>
      <c r="H23" s="242">
        <f t="shared" si="1"/>
        <v>1.73</v>
      </c>
    </row>
    <row r="24" spans="1:8" ht="63.75">
      <c r="A24" s="226"/>
      <c r="B24" s="236" t="s">
        <v>125</v>
      </c>
      <c r="C24" s="237">
        <v>5942</v>
      </c>
      <c r="D24" s="238" t="s">
        <v>716</v>
      </c>
      <c r="E24" s="239" t="s">
        <v>717</v>
      </c>
      <c r="F24" s="240">
        <v>0.0105</v>
      </c>
      <c r="G24" s="241">
        <v>78.43</v>
      </c>
      <c r="H24" s="242">
        <f t="shared" si="1"/>
        <v>0.82</v>
      </c>
    </row>
    <row r="25" spans="1:10" ht="51">
      <c r="A25" s="226"/>
      <c r="B25" s="236" t="s">
        <v>125</v>
      </c>
      <c r="C25" s="237">
        <v>97914</v>
      </c>
      <c r="D25" s="238" t="s">
        <v>718</v>
      </c>
      <c r="E25" s="239" t="s">
        <v>719</v>
      </c>
      <c r="F25" s="240">
        <v>10</v>
      </c>
      <c r="G25" s="241">
        <v>2.63</v>
      </c>
      <c r="H25" s="242">
        <f t="shared" si="1"/>
        <v>26.3</v>
      </c>
      <c r="J25" s="260"/>
    </row>
    <row r="26" spans="1:8" ht="12.75">
      <c r="A26" s="226"/>
      <c r="B26" s="243"/>
      <c r="C26" s="244"/>
      <c r="D26" s="261" t="s">
        <v>720</v>
      </c>
      <c r="E26" s="246"/>
      <c r="F26" s="247"/>
      <c r="G26" s="248"/>
      <c r="H26" s="249"/>
    </row>
    <row r="27" spans="1:10" ht="25.5">
      <c r="A27" s="226"/>
      <c r="B27" s="236"/>
      <c r="D27" s="238" t="s">
        <v>721</v>
      </c>
      <c r="E27" s="239" t="s">
        <v>722</v>
      </c>
      <c r="F27" s="240">
        <v>0.08333333333333333</v>
      </c>
      <c r="G27" s="241">
        <v>100</v>
      </c>
      <c r="H27" s="242">
        <f>ROUND(F27*G27,2)</f>
        <v>8.33</v>
      </c>
      <c r="J27" s="260"/>
    </row>
    <row r="28" spans="1:8" ht="12.75">
      <c r="A28" s="226"/>
      <c r="B28" s="243"/>
      <c r="C28" s="244"/>
      <c r="D28" s="245"/>
      <c r="E28" s="246"/>
      <c r="F28" s="247"/>
      <c r="G28" s="248"/>
      <c r="H28" s="249"/>
    </row>
    <row r="29" spans="1:8" ht="12.75">
      <c r="A29" s="226"/>
      <c r="B29" s="250" t="s">
        <v>709</v>
      </c>
      <c r="C29" s="251"/>
      <c r="D29" s="245"/>
      <c r="E29" s="252"/>
      <c r="F29" s="253"/>
      <c r="G29" s="254"/>
      <c r="H29" s="255"/>
    </row>
    <row r="30" spans="1:10" ht="12.75">
      <c r="A30" s="226"/>
      <c r="B30" s="256"/>
      <c r="C30" s="257"/>
      <c r="D30" s="258" t="s">
        <v>710</v>
      </c>
      <c r="E30" s="258"/>
      <c r="F30" s="258"/>
      <c r="G30" s="258"/>
      <c r="H30" s="259">
        <f>SUM(H22:H27)</f>
        <v>38.8</v>
      </c>
      <c r="J30" s="260"/>
    </row>
    <row r="31" ht="12.75">
      <c r="A31" s="226"/>
    </row>
    <row r="32" ht="12.75">
      <c r="A32" s="226"/>
    </row>
    <row r="33" spans="1:8" ht="45" customHeight="1">
      <c r="A33" s="226"/>
      <c r="B33" s="227" t="s">
        <v>229</v>
      </c>
      <c r="C33" s="228"/>
      <c r="D33" s="229" t="s">
        <v>723</v>
      </c>
      <c r="E33" s="229"/>
      <c r="F33" s="229"/>
      <c r="G33" s="229"/>
      <c r="H33" s="230" t="s">
        <v>142</v>
      </c>
    </row>
    <row r="34" spans="1:8" ht="12.75">
      <c r="A34" s="226"/>
      <c r="B34" s="231" t="s">
        <v>700</v>
      </c>
      <c r="C34" s="232" t="s">
        <v>701</v>
      </c>
      <c r="D34" s="232" t="s">
        <v>702</v>
      </c>
      <c r="E34" s="233" t="s">
        <v>703</v>
      </c>
      <c r="F34" s="234" t="s">
        <v>704</v>
      </c>
      <c r="G34" s="232" t="s">
        <v>705</v>
      </c>
      <c r="H34" s="235" t="s">
        <v>706</v>
      </c>
    </row>
    <row r="35" spans="1:8" ht="25.5">
      <c r="A35" s="226"/>
      <c r="B35" s="236" t="s">
        <v>125</v>
      </c>
      <c r="C35" s="237">
        <v>88316</v>
      </c>
      <c r="D35" s="238" t="s">
        <v>712</v>
      </c>
      <c r="E35" s="239" t="s">
        <v>713</v>
      </c>
      <c r="F35" s="240">
        <v>1.66</v>
      </c>
      <c r="G35" s="241">
        <v>16.21</v>
      </c>
      <c r="H35" s="242">
        <f aca="true" t="shared" si="2" ref="H35:H39">ROUND(F35*G35,2)</f>
        <v>26.91</v>
      </c>
    </row>
    <row r="36" spans="1:8" ht="63.75">
      <c r="A36" s="226"/>
      <c r="B36" s="236" t="s">
        <v>125</v>
      </c>
      <c r="C36" s="237">
        <v>91277</v>
      </c>
      <c r="D36" s="238" t="s">
        <v>724</v>
      </c>
      <c r="E36" s="239" t="s">
        <v>715</v>
      </c>
      <c r="F36" s="240">
        <v>0.8</v>
      </c>
      <c r="G36" s="241">
        <v>7.89</v>
      </c>
      <c r="H36" s="242">
        <f t="shared" si="2"/>
        <v>6.31</v>
      </c>
    </row>
    <row r="37" spans="1:8" ht="51">
      <c r="A37" s="226"/>
      <c r="B37" s="236" t="s">
        <v>125</v>
      </c>
      <c r="C37" s="237">
        <v>91278</v>
      </c>
      <c r="D37" s="238" t="s">
        <v>725</v>
      </c>
      <c r="E37" s="239" t="s">
        <v>717</v>
      </c>
      <c r="F37" s="240">
        <v>0.2</v>
      </c>
      <c r="G37" s="241">
        <v>0.46</v>
      </c>
      <c r="H37" s="242">
        <f t="shared" si="2"/>
        <v>0.09</v>
      </c>
    </row>
    <row r="38" spans="1:10" ht="51">
      <c r="A38" s="226"/>
      <c r="B38" s="236" t="s">
        <v>125</v>
      </c>
      <c r="C38" s="237">
        <v>95876</v>
      </c>
      <c r="D38" s="238" t="s">
        <v>726</v>
      </c>
      <c r="E38" s="239" t="s">
        <v>719</v>
      </c>
      <c r="F38" s="240">
        <v>10.5</v>
      </c>
      <c r="G38" s="241">
        <v>2.02</v>
      </c>
      <c r="H38" s="242">
        <f t="shared" si="2"/>
        <v>21.21</v>
      </c>
      <c r="J38" s="262"/>
    </row>
    <row r="39" spans="1:10" ht="25.5">
      <c r="A39" s="226"/>
      <c r="B39" s="236" t="s">
        <v>727</v>
      </c>
      <c r="C39" s="237">
        <v>4718</v>
      </c>
      <c r="D39" s="238" t="s">
        <v>728</v>
      </c>
      <c r="E39" s="239" t="s">
        <v>729</v>
      </c>
      <c r="F39" s="240">
        <v>1.3</v>
      </c>
      <c r="G39" s="241">
        <v>112.03</v>
      </c>
      <c r="H39" s="242">
        <f t="shared" si="2"/>
        <v>145.64</v>
      </c>
      <c r="J39" s="262"/>
    </row>
    <row r="40" spans="1:8" ht="12.75">
      <c r="A40" s="226"/>
      <c r="B40" s="243"/>
      <c r="C40" s="244"/>
      <c r="D40" s="245"/>
      <c r="E40" s="246"/>
      <c r="F40" s="247"/>
      <c r="G40" s="248"/>
      <c r="H40" s="249"/>
    </row>
    <row r="41" spans="1:8" ht="12.75">
      <c r="A41" s="226"/>
      <c r="B41" s="250" t="s">
        <v>709</v>
      </c>
      <c r="C41" s="251"/>
      <c r="D41" s="245"/>
      <c r="E41" s="252"/>
      <c r="F41" s="253"/>
      <c r="G41" s="254"/>
      <c r="H41" s="255"/>
    </row>
    <row r="42" spans="1:8" ht="12.75">
      <c r="A42" s="226"/>
      <c r="B42" s="256"/>
      <c r="C42" s="257"/>
      <c r="D42" s="258" t="s">
        <v>710</v>
      </c>
      <c r="E42" s="258"/>
      <c r="F42" s="258"/>
      <c r="G42" s="258"/>
      <c r="H42" s="259">
        <f>SUM(H35:H39)</f>
        <v>200.16</v>
      </c>
    </row>
    <row r="43" ht="12.75">
      <c r="A43" s="226"/>
    </row>
    <row r="44" ht="12.75">
      <c r="A44" s="226"/>
    </row>
    <row r="45" spans="1:8" ht="45" customHeight="1">
      <c r="A45" s="226"/>
      <c r="B45" s="227" t="s">
        <v>272</v>
      </c>
      <c r="C45" s="228"/>
      <c r="D45" s="229" t="s">
        <v>730</v>
      </c>
      <c r="E45" s="229"/>
      <c r="F45" s="229"/>
      <c r="G45" s="229"/>
      <c r="H45" s="230" t="s">
        <v>55</v>
      </c>
    </row>
    <row r="46" spans="1:8" ht="12.75">
      <c r="A46" s="226"/>
      <c r="B46" s="231" t="s">
        <v>700</v>
      </c>
      <c r="C46" s="232" t="s">
        <v>701</v>
      </c>
      <c r="D46" s="232" t="s">
        <v>702</v>
      </c>
      <c r="E46" s="233" t="s">
        <v>703</v>
      </c>
      <c r="F46" s="234" t="s">
        <v>704</v>
      </c>
      <c r="G46" s="232" t="s">
        <v>705</v>
      </c>
      <c r="H46" s="235" t="s">
        <v>706</v>
      </c>
    </row>
    <row r="47" spans="1:8" ht="25.5">
      <c r="A47" s="226"/>
      <c r="B47" s="236" t="s">
        <v>125</v>
      </c>
      <c r="C47" s="237">
        <v>88310</v>
      </c>
      <c r="D47" s="238" t="s">
        <v>731</v>
      </c>
      <c r="E47" s="239" t="s">
        <v>713</v>
      </c>
      <c r="F47" s="240">
        <v>0.96</v>
      </c>
      <c r="G47" s="241">
        <v>23.43</v>
      </c>
      <c r="H47" s="242">
        <f aca="true" t="shared" si="3" ref="H47:H51">ROUND(F47*G47,2)</f>
        <v>22.49</v>
      </c>
    </row>
    <row r="48" spans="1:8" ht="25.5">
      <c r="A48" s="226"/>
      <c r="B48" s="236" t="s">
        <v>125</v>
      </c>
      <c r="C48" s="237">
        <v>88316</v>
      </c>
      <c r="D48" s="238" t="s">
        <v>712</v>
      </c>
      <c r="E48" s="239" t="s">
        <v>713</v>
      </c>
      <c r="F48" s="240">
        <v>0.4</v>
      </c>
      <c r="G48" s="241">
        <v>16.21</v>
      </c>
      <c r="H48" s="242">
        <f t="shared" si="3"/>
        <v>6.48</v>
      </c>
    </row>
    <row r="49" spans="1:8" ht="25.5">
      <c r="A49" s="226"/>
      <c r="B49" s="236" t="s">
        <v>727</v>
      </c>
      <c r="C49" s="237">
        <v>12815</v>
      </c>
      <c r="D49" s="238" t="s">
        <v>732</v>
      </c>
      <c r="E49" s="239" t="s">
        <v>733</v>
      </c>
      <c r="F49" s="240">
        <v>0.23</v>
      </c>
      <c r="G49" s="241">
        <v>9.87</v>
      </c>
      <c r="H49" s="242">
        <f t="shared" si="3"/>
        <v>2.27</v>
      </c>
    </row>
    <row r="50" spans="1:8" ht="25.5">
      <c r="A50" s="226"/>
      <c r="B50" s="236" t="s">
        <v>727</v>
      </c>
      <c r="C50" s="237">
        <v>7304</v>
      </c>
      <c r="D50" s="238" t="s">
        <v>734</v>
      </c>
      <c r="E50" s="239" t="s">
        <v>735</v>
      </c>
      <c r="F50" s="240">
        <v>0.427</v>
      </c>
      <c r="G50" s="241">
        <v>77.88</v>
      </c>
      <c r="H50" s="242">
        <f t="shared" si="3"/>
        <v>33.25</v>
      </c>
    </row>
    <row r="51" spans="1:8" ht="25.5">
      <c r="A51" s="226"/>
      <c r="B51" s="236" t="s">
        <v>727</v>
      </c>
      <c r="C51" s="237">
        <v>5330</v>
      </c>
      <c r="D51" s="238" t="s">
        <v>736</v>
      </c>
      <c r="E51" s="239" t="s">
        <v>735</v>
      </c>
      <c r="F51" s="240">
        <v>0.08</v>
      </c>
      <c r="G51" s="241">
        <v>53.45</v>
      </c>
      <c r="H51" s="242">
        <f t="shared" si="3"/>
        <v>4.28</v>
      </c>
    </row>
    <row r="52" spans="1:8" ht="12.75">
      <c r="A52" s="226"/>
      <c r="B52" s="243"/>
      <c r="C52" s="244"/>
      <c r="D52" s="245"/>
      <c r="E52" s="246"/>
      <c r="F52" s="247"/>
      <c r="G52" s="248"/>
      <c r="H52" s="249"/>
    </row>
    <row r="53" spans="1:8" ht="12.75">
      <c r="A53" s="226"/>
      <c r="B53" s="250" t="s">
        <v>709</v>
      </c>
      <c r="C53" s="251"/>
      <c r="D53" s="245"/>
      <c r="E53" s="252"/>
      <c r="F53" s="253"/>
      <c r="G53" s="254"/>
      <c r="H53" s="255"/>
    </row>
    <row r="54" spans="1:8" ht="12.75">
      <c r="A54" s="226"/>
      <c r="B54" s="263" t="s">
        <v>737</v>
      </c>
      <c r="C54" s="264" t="s">
        <v>738</v>
      </c>
      <c r="D54" s="258" t="s">
        <v>710</v>
      </c>
      <c r="E54" s="258"/>
      <c r="F54" s="258"/>
      <c r="G54" s="258"/>
      <c r="H54" s="259">
        <f>SUM(H47:H51)</f>
        <v>68.77</v>
      </c>
    </row>
    <row r="55" ht="12.75">
      <c r="A55" s="226"/>
    </row>
    <row r="56" ht="12.75">
      <c r="A56" s="226"/>
    </row>
    <row r="57" spans="1:8" ht="60" customHeight="1">
      <c r="A57" s="226"/>
      <c r="B57" s="227" t="s">
        <v>236</v>
      </c>
      <c r="C57" s="228"/>
      <c r="D57" s="229" t="s">
        <v>739</v>
      </c>
      <c r="E57" s="229"/>
      <c r="F57" s="229"/>
      <c r="G57" s="229"/>
      <c r="H57" s="230" t="s">
        <v>86</v>
      </c>
    </row>
    <row r="58" spans="1:8" ht="12.75">
      <c r="A58" s="226"/>
      <c r="B58" s="231" t="s">
        <v>700</v>
      </c>
      <c r="C58" s="232" t="s">
        <v>701</v>
      </c>
      <c r="D58" s="232" t="s">
        <v>702</v>
      </c>
      <c r="E58" s="233" t="s">
        <v>703</v>
      </c>
      <c r="F58" s="234" t="s">
        <v>704</v>
      </c>
      <c r="G58" s="232" t="s">
        <v>705</v>
      </c>
      <c r="H58" s="235" t="s">
        <v>706</v>
      </c>
    </row>
    <row r="59" spans="1:8" ht="25.5">
      <c r="A59" s="226"/>
      <c r="B59" s="236" t="s">
        <v>125</v>
      </c>
      <c r="C59" s="237">
        <v>88441</v>
      </c>
      <c r="D59" s="238" t="s">
        <v>740</v>
      </c>
      <c r="E59" s="239" t="s">
        <v>713</v>
      </c>
      <c r="F59" s="240">
        <v>0.5</v>
      </c>
      <c r="G59" s="241">
        <v>19.86</v>
      </c>
      <c r="H59" s="242">
        <f aca="true" t="shared" si="4" ref="H59:H61">ROUND(F59*G59,2)</f>
        <v>9.93</v>
      </c>
    </row>
    <row r="60" spans="1:8" ht="25.5">
      <c r="A60" s="226"/>
      <c r="B60" s="236" t="s">
        <v>727</v>
      </c>
      <c r="C60" s="237">
        <v>3146</v>
      </c>
      <c r="D60" s="238" t="s">
        <v>741</v>
      </c>
      <c r="E60" s="239" t="s">
        <v>733</v>
      </c>
      <c r="F60" s="240">
        <v>0.05</v>
      </c>
      <c r="G60" s="241">
        <v>3.83</v>
      </c>
      <c r="H60" s="242">
        <f t="shared" si="4"/>
        <v>0.19</v>
      </c>
    </row>
    <row r="61" spans="1:8" ht="25.5">
      <c r="A61" s="226"/>
      <c r="B61" s="236" t="s">
        <v>742</v>
      </c>
      <c r="D61" s="238" t="s">
        <v>743</v>
      </c>
      <c r="E61" s="239" t="s">
        <v>86</v>
      </c>
      <c r="F61" s="240">
        <v>1</v>
      </c>
      <c r="G61" s="241">
        <v>81.22</v>
      </c>
      <c r="H61" s="242">
        <f t="shared" si="4"/>
        <v>81.22</v>
      </c>
    </row>
    <row r="62" spans="1:8" ht="12.75">
      <c r="A62" s="226"/>
      <c r="B62" s="243"/>
      <c r="C62" s="244"/>
      <c r="D62" s="245"/>
      <c r="E62" s="246"/>
      <c r="F62" s="247"/>
      <c r="G62" s="248"/>
      <c r="H62" s="249"/>
    </row>
    <row r="63" spans="1:8" ht="12.75">
      <c r="A63" s="226"/>
      <c r="B63" s="250" t="s">
        <v>709</v>
      </c>
      <c r="C63" s="251"/>
      <c r="D63" s="245"/>
      <c r="E63" s="252"/>
      <c r="F63" s="253"/>
      <c r="G63" s="254"/>
      <c r="H63" s="255"/>
    </row>
    <row r="64" spans="1:8" ht="12.75">
      <c r="A64" s="226"/>
      <c r="B64" s="256"/>
      <c r="C64" s="257"/>
      <c r="D64" s="258" t="s">
        <v>710</v>
      </c>
      <c r="E64" s="258"/>
      <c r="F64" s="258"/>
      <c r="G64" s="258"/>
      <c r="H64" s="259">
        <f>SUM(H59:H61)</f>
        <v>91.34</v>
      </c>
    </row>
    <row r="65" ht="12.75">
      <c r="A65" s="226"/>
    </row>
    <row r="66" ht="12.75">
      <c r="A66" s="226"/>
    </row>
    <row r="67" spans="1:8" ht="30" customHeight="1">
      <c r="A67" s="226"/>
      <c r="B67" s="227" t="s">
        <v>240</v>
      </c>
      <c r="C67" s="228"/>
      <c r="D67" s="229" t="s">
        <v>744</v>
      </c>
      <c r="E67" s="229"/>
      <c r="F67" s="229"/>
      <c r="G67" s="229"/>
      <c r="H67" s="230" t="s">
        <v>82</v>
      </c>
    </row>
    <row r="68" spans="1:8" ht="12.75">
      <c r="A68" s="226"/>
      <c r="B68" s="231" t="s">
        <v>700</v>
      </c>
      <c r="C68" s="232" t="s">
        <v>701</v>
      </c>
      <c r="D68" s="232" t="s">
        <v>702</v>
      </c>
      <c r="E68" s="233" t="s">
        <v>703</v>
      </c>
      <c r="F68" s="234" t="s">
        <v>704</v>
      </c>
      <c r="G68" s="232" t="s">
        <v>705</v>
      </c>
      <c r="H68" s="235" t="s">
        <v>706</v>
      </c>
    </row>
    <row r="69" spans="1:8" ht="25.5">
      <c r="A69" s="226"/>
      <c r="B69" s="236" t="s">
        <v>125</v>
      </c>
      <c r="C69" s="237">
        <v>88267</v>
      </c>
      <c r="D69" s="238" t="s">
        <v>745</v>
      </c>
      <c r="E69" s="239" t="s">
        <v>713</v>
      </c>
      <c r="F69" s="240">
        <v>0.1</v>
      </c>
      <c r="G69" s="241">
        <v>21.76</v>
      </c>
      <c r="H69" s="242">
        <f aca="true" t="shared" si="5" ref="H69:H71">ROUND(F69*G69,2)</f>
        <v>2.18</v>
      </c>
    </row>
    <row r="70" spans="1:8" ht="38.25">
      <c r="A70" s="226"/>
      <c r="B70" s="236" t="s">
        <v>125</v>
      </c>
      <c r="C70" s="237">
        <v>88248</v>
      </c>
      <c r="D70" s="238" t="s">
        <v>746</v>
      </c>
      <c r="E70" s="239" t="s">
        <v>713</v>
      </c>
      <c r="F70" s="240">
        <v>0.1</v>
      </c>
      <c r="G70" s="241">
        <v>17.45</v>
      </c>
      <c r="H70" s="242">
        <f t="shared" si="5"/>
        <v>1.75</v>
      </c>
    </row>
    <row r="71" spans="1:8" ht="25.5">
      <c r="A71" s="226"/>
      <c r="B71" s="236" t="s">
        <v>742</v>
      </c>
      <c r="D71" s="238" t="s">
        <v>747</v>
      </c>
      <c r="E71" s="239" t="s">
        <v>82</v>
      </c>
      <c r="F71" s="240">
        <v>1</v>
      </c>
      <c r="G71" s="241">
        <v>6.999066666666667</v>
      </c>
      <c r="H71" s="242">
        <f t="shared" si="5"/>
        <v>7</v>
      </c>
    </row>
    <row r="72" spans="1:8" ht="12.75">
      <c r="A72" s="226"/>
      <c r="B72" s="243"/>
      <c r="C72" s="244"/>
      <c r="D72" s="245"/>
      <c r="E72" s="246"/>
      <c r="F72" s="247"/>
      <c r="G72" s="248"/>
      <c r="H72" s="249"/>
    </row>
    <row r="73" spans="1:8" ht="12.75">
      <c r="A73" s="226"/>
      <c r="B73" s="250" t="s">
        <v>709</v>
      </c>
      <c r="C73" s="251"/>
      <c r="D73" s="245"/>
      <c r="E73" s="252"/>
      <c r="F73" s="253"/>
      <c r="G73" s="254"/>
      <c r="H73" s="255"/>
    </row>
    <row r="74" spans="1:8" ht="25.5">
      <c r="A74" s="226"/>
      <c r="B74" s="265" t="s">
        <v>748</v>
      </c>
      <c r="C74" s="266" t="s">
        <v>749</v>
      </c>
      <c r="D74" s="267" t="s">
        <v>710</v>
      </c>
      <c r="E74" s="267"/>
      <c r="F74" s="267"/>
      <c r="G74" s="267"/>
      <c r="H74" s="268">
        <f>SUM(H69:H71)</f>
        <v>10.93</v>
      </c>
    </row>
    <row r="75" ht="12.75">
      <c r="A75" s="226"/>
    </row>
    <row r="76" ht="12.75">
      <c r="A76" s="226"/>
    </row>
    <row r="77" spans="1:8" ht="60" customHeight="1">
      <c r="A77" s="226"/>
      <c r="B77" s="227" t="s">
        <v>243</v>
      </c>
      <c r="C77" s="228"/>
      <c r="D77" s="229" t="s">
        <v>750</v>
      </c>
      <c r="E77" s="229"/>
      <c r="F77" s="229"/>
      <c r="G77" s="229"/>
      <c r="H77" s="230" t="s">
        <v>86</v>
      </c>
    </row>
    <row r="78" spans="1:8" ht="12.75">
      <c r="A78" s="226"/>
      <c r="B78" s="231" t="s">
        <v>700</v>
      </c>
      <c r="C78" s="232" t="s">
        <v>701</v>
      </c>
      <c r="D78" s="232" t="s">
        <v>702</v>
      </c>
      <c r="E78" s="233" t="s">
        <v>703</v>
      </c>
      <c r="F78" s="234" t="s">
        <v>704</v>
      </c>
      <c r="G78" s="232" t="s">
        <v>705</v>
      </c>
      <c r="H78" s="235" t="s">
        <v>706</v>
      </c>
    </row>
    <row r="79" spans="1:8" ht="63.75">
      <c r="A79" s="226"/>
      <c r="B79" s="236" t="s">
        <v>125</v>
      </c>
      <c r="C79" s="237">
        <v>87316</v>
      </c>
      <c r="D79" s="238" t="s">
        <v>751</v>
      </c>
      <c r="E79" s="239" t="s">
        <v>142</v>
      </c>
      <c r="F79" s="240">
        <v>0.0006</v>
      </c>
      <c r="G79" s="241">
        <v>470.76</v>
      </c>
      <c r="H79" s="242">
        <f aca="true" t="shared" si="6" ref="H79:H85">ROUND(F79*G79,2)</f>
        <v>0.28</v>
      </c>
    </row>
    <row r="80" spans="1:8" ht="25.5">
      <c r="A80" s="226"/>
      <c r="B80" s="236" t="s">
        <v>125</v>
      </c>
      <c r="C80" s="237">
        <v>88309</v>
      </c>
      <c r="D80" s="238" t="s">
        <v>752</v>
      </c>
      <c r="E80" s="239" t="s">
        <v>713</v>
      </c>
      <c r="F80" s="240">
        <v>2.8487</v>
      </c>
      <c r="G80" s="241">
        <v>22.37</v>
      </c>
      <c r="H80" s="242">
        <f t="shared" si="6"/>
        <v>63.73</v>
      </c>
    </row>
    <row r="81" spans="1:8" ht="25.5">
      <c r="A81" s="226"/>
      <c r="B81" s="236" t="s">
        <v>125</v>
      </c>
      <c r="C81" s="237">
        <v>88316</v>
      </c>
      <c r="D81" s="238" t="s">
        <v>712</v>
      </c>
      <c r="E81" s="239" t="s">
        <v>713</v>
      </c>
      <c r="F81" s="240">
        <v>2.8487</v>
      </c>
      <c r="G81" s="241">
        <v>16.21</v>
      </c>
      <c r="H81" s="242">
        <f t="shared" si="6"/>
        <v>46.18</v>
      </c>
    </row>
    <row r="82" spans="1:8" ht="51">
      <c r="A82" s="226"/>
      <c r="B82" s="236" t="s">
        <v>125</v>
      </c>
      <c r="C82" s="237">
        <v>88628</v>
      </c>
      <c r="D82" s="238" t="s">
        <v>753</v>
      </c>
      <c r="E82" s="239" t="s">
        <v>142</v>
      </c>
      <c r="F82" s="240">
        <v>0.0515</v>
      </c>
      <c r="G82" s="241">
        <v>557.62</v>
      </c>
      <c r="H82" s="242">
        <f t="shared" si="6"/>
        <v>28.72</v>
      </c>
    </row>
    <row r="83" spans="1:8" ht="51">
      <c r="A83" s="226"/>
      <c r="B83" s="236" t="s">
        <v>125</v>
      </c>
      <c r="C83" s="237">
        <v>94970</v>
      </c>
      <c r="D83" s="238" t="s">
        <v>754</v>
      </c>
      <c r="E83" s="239" t="s">
        <v>142</v>
      </c>
      <c r="F83" s="240">
        <v>0.0419</v>
      </c>
      <c r="G83" s="241">
        <v>459.18</v>
      </c>
      <c r="H83" s="242">
        <f t="shared" si="6"/>
        <v>19.24</v>
      </c>
    </row>
    <row r="84" spans="1:8" ht="38.25">
      <c r="A84" s="226"/>
      <c r="B84" s="236" t="s">
        <v>125</v>
      </c>
      <c r="C84" s="237">
        <v>101616</v>
      </c>
      <c r="D84" s="238" t="s">
        <v>755</v>
      </c>
      <c r="E84" s="239" t="s">
        <v>55</v>
      </c>
      <c r="F84" s="240">
        <v>0.49</v>
      </c>
      <c r="G84" s="241">
        <v>4.94</v>
      </c>
      <c r="H84" s="242">
        <f t="shared" si="6"/>
        <v>2.42</v>
      </c>
    </row>
    <row r="85" spans="1:8" ht="25.5">
      <c r="A85" s="226"/>
      <c r="B85" s="236" t="s">
        <v>727</v>
      </c>
      <c r="C85" s="237">
        <v>7258</v>
      </c>
      <c r="D85" s="238" t="s">
        <v>756</v>
      </c>
      <c r="E85" s="239" t="s">
        <v>733</v>
      </c>
      <c r="F85" s="240">
        <v>77.4</v>
      </c>
      <c r="G85" s="241">
        <v>0.69</v>
      </c>
      <c r="H85" s="242">
        <f t="shared" si="6"/>
        <v>53.41</v>
      </c>
    </row>
    <row r="86" spans="1:8" ht="12.75">
      <c r="A86" s="226"/>
      <c r="B86" s="243"/>
      <c r="C86" s="244"/>
      <c r="D86" s="245"/>
      <c r="E86" s="246"/>
      <c r="F86" s="247"/>
      <c r="G86" s="248"/>
      <c r="H86" s="249"/>
    </row>
    <row r="87" spans="1:8" ht="12.75">
      <c r="A87" s="226"/>
      <c r="B87" s="250" t="s">
        <v>709</v>
      </c>
      <c r="C87" s="251"/>
      <c r="D87" s="245"/>
      <c r="E87" s="252"/>
      <c r="F87" s="253"/>
      <c r="G87" s="254"/>
      <c r="H87" s="255"/>
    </row>
    <row r="88" spans="1:8" ht="12.75">
      <c r="A88" s="226"/>
      <c r="B88" s="256"/>
      <c r="C88" s="257"/>
      <c r="D88" s="258" t="s">
        <v>710</v>
      </c>
      <c r="E88" s="258"/>
      <c r="F88" s="258"/>
      <c r="G88" s="258"/>
      <c r="H88" s="259">
        <f>SUM(H79:H85)</f>
        <v>213.98</v>
      </c>
    </row>
    <row r="89" ht="12.75">
      <c r="A89" s="226"/>
    </row>
    <row r="90" ht="12.75">
      <c r="A90" s="226"/>
    </row>
    <row r="91" spans="1:8" ht="60" customHeight="1">
      <c r="A91" s="226"/>
      <c r="B91" s="227" t="s">
        <v>341</v>
      </c>
      <c r="C91" s="228"/>
      <c r="D91" s="229" t="s">
        <v>757</v>
      </c>
      <c r="E91" s="229"/>
      <c r="F91" s="229"/>
      <c r="G91" s="229"/>
      <c r="H91" s="230" t="s">
        <v>129</v>
      </c>
    </row>
    <row r="92" spans="1:8" ht="12.75">
      <c r="A92" s="226"/>
      <c r="B92" s="231" t="s">
        <v>700</v>
      </c>
      <c r="C92" s="232" t="s">
        <v>701</v>
      </c>
      <c r="D92" s="232" t="s">
        <v>702</v>
      </c>
      <c r="E92" s="233" t="s">
        <v>703</v>
      </c>
      <c r="F92" s="234" t="s">
        <v>704</v>
      </c>
      <c r="G92" s="232" t="s">
        <v>705</v>
      </c>
      <c r="H92" s="235" t="s">
        <v>706</v>
      </c>
    </row>
    <row r="93" spans="1:8" ht="25.5">
      <c r="A93" s="226"/>
      <c r="B93" s="236" t="s">
        <v>125</v>
      </c>
      <c r="C93" s="237">
        <v>88264</v>
      </c>
      <c r="D93" s="238" t="s">
        <v>758</v>
      </c>
      <c r="E93" s="239" t="s">
        <v>713</v>
      </c>
      <c r="F93" s="240">
        <v>0.3</v>
      </c>
      <c r="G93" s="241">
        <v>22.61</v>
      </c>
      <c r="H93" s="242">
        <f aca="true" t="shared" si="7" ref="H93:H95">ROUND(F93*G93,2)</f>
        <v>6.78</v>
      </c>
    </row>
    <row r="94" spans="1:8" ht="25.5">
      <c r="A94" s="226"/>
      <c r="B94" s="236" t="s">
        <v>125</v>
      </c>
      <c r="C94" s="237">
        <v>88247</v>
      </c>
      <c r="D94" s="238" t="s">
        <v>759</v>
      </c>
      <c r="E94" s="239" t="s">
        <v>713</v>
      </c>
      <c r="F94" s="240">
        <v>0.3</v>
      </c>
      <c r="G94" s="241">
        <v>18.25</v>
      </c>
      <c r="H94" s="242">
        <f t="shared" si="7"/>
        <v>5.48</v>
      </c>
    </row>
    <row r="95" spans="1:8" ht="38.25">
      <c r="A95" s="226"/>
      <c r="B95" s="236" t="s">
        <v>742</v>
      </c>
      <c r="D95" s="238" t="s">
        <v>760</v>
      </c>
      <c r="E95" s="239" t="s">
        <v>129</v>
      </c>
      <c r="F95" s="240">
        <v>1</v>
      </c>
      <c r="G95" s="241">
        <v>81.99333333333334</v>
      </c>
      <c r="H95" s="242">
        <f t="shared" si="7"/>
        <v>81.99</v>
      </c>
    </row>
    <row r="96" spans="1:8" ht="12.75">
      <c r="A96" s="226"/>
      <c r="B96" s="243"/>
      <c r="C96" s="244"/>
      <c r="D96" s="245"/>
      <c r="E96" s="246"/>
      <c r="F96" s="247"/>
      <c r="G96" s="248"/>
      <c r="H96" s="249"/>
    </row>
    <row r="97" spans="1:8" ht="12.75">
      <c r="A97" s="226"/>
      <c r="B97" s="250" t="s">
        <v>709</v>
      </c>
      <c r="C97" s="251"/>
      <c r="D97" s="245"/>
      <c r="E97" s="252"/>
      <c r="F97" s="253"/>
      <c r="G97" s="254"/>
      <c r="H97" s="255"/>
    </row>
    <row r="98" spans="1:8" ht="12.75">
      <c r="A98" s="226"/>
      <c r="B98" s="256"/>
      <c r="C98" s="257"/>
      <c r="D98" s="258" t="s">
        <v>710</v>
      </c>
      <c r="E98" s="258"/>
      <c r="F98" s="258"/>
      <c r="G98" s="258"/>
      <c r="H98" s="259">
        <f>SUM(H93:H95)</f>
        <v>94.25</v>
      </c>
    </row>
    <row r="99" ht="12.75">
      <c r="A99" s="226"/>
    </row>
    <row r="100" ht="12.75">
      <c r="A100" s="226"/>
    </row>
    <row r="101" spans="1:8" ht="30" customHeight="1">
      <c r="A101" s="226"/>
      <c r="B101" s="227" t="s">
        <v>308</v>
      </c>
      <c r="C101" s="228"/>
      <c r="D101" s="229" t="s">
        <v>761</v>
      </c>
      <c r="E101" s="229"/>
      <c r="F101" s="229"/>
      <c r="G101" s="229"/>
      <c r="H101" s="230" t="s">
        <v>86</v>
      </c>
    </row>
    <row r="102" spans="1:8" ht="12.75">
      <c r="A102" s="226"/>
      <c r="B102" s="231" t="s">
        <v>700</v>
      </c>
      <c r="C102" s="232" t="s">
        <v>701</v>
      </c>
      <c r="D102" s="232" t="s">
        <v>702</v>
      </c>
      <c r="E102" s="233" t="s">
        <v>703</v>
      </c>
      <c r="F102" s="234" t="s">
        <v>704</v>
      </c>
      <c r="G102" s="232" t="s">
        <v>705</v>
      </c>
      <c r="H102" s="235" t="s">
        <v>706</v>
      </c>
    </row>
    <row r="103" spans="1:8" ht="25.5">
      <c r="A103" s="226"/>
      <c r="B103" s="236" t="s">
        <v>125</v>
      </c>
      <c r="C103" s="237">
        <v>88309</v>
      </c>
      <c r="D103" s="238" t="s">
        <v>752</v>
      </c>
      <c r="E103" s="239" t="s">
        <v>713</v>
      </c>
      <c r="F103" s="240">
        <v>0.8</v>
      </c>
      <c r="G103" s="241">
        <v>22.37</v>
      </c>
      <c r="H103" s="242">
        <f aca="true" t="shared" si="8" ref="H103:H104">ROUND(F103*G103,2)</f>
        <v>17.9</v>
      </c>
    </row>
    <row r="104" spans="1:8" ht="25.5">
      <c r="A104" s="226"/>
      <c r="B104" s="236" t="s">
        <v>125</v>
      </c>
      <c r="C104" s="237">
        <v>88316</v>
      </c>
      <c r="D104" s="238" t="s">
        <v>712</v>
      </c>
      <c r="E104" s="239" t="s">
        <v>713</v>
      </c>
      <c r="F104" s="240">
        <v>1</v>
      </c>
      <c r="G104" s="241">
        <v>16.21</v>
      </c>
      <c r="H104" s="242">
        <f t="shared" si="8"/>
        <v>16.21</v>
      </c>
    </row>
    <row r="105" spans="1:8" ht="12.75">
      <c r="A105" s="226"/>
      <c r="B105" s="243"/>
      <c r="C105" s="244"/>
      <c r="D105" s="245"/>
      <c r="E105" s="246"/>
      <c r="F105" s="247"/>
      <c r="G105" s="248"/>
      <c r="H105" s="249"/>
    </row>
    <row r="106" spans="1:8" ht="12.75">
      <c r="A106" s="226"/>
      <c r="B106" s="250" t="s">
        <v>709</v>
      </c>
      <c r="C106" s="251"/>
      <c r="D106" s="245"/>
      <c r="E106" s="252"/>
      <c r="F106" s="253"/>
      <c r="G106" s="254"/>
      <c r="H106" s="255"/>
    </row>
    <row r="107" spans="1:8" ht="12.75">
      <c r="A107" s="226"/>
      <c r="B107" s="265" t="s">
        <v>762</v>
      </c>
      <c r="C107" s="269" t="s">
        <v>763</v>
      </c>
      <c r="D107" s="258" t="s">
        <v>710</v>
      </c>
      <c r="E107" s="258"/>
      <c r="F107" s="258"/>
      <c r="G107" s="258"/>
      <c r="H107" s="259">
        <f>SUM(H103:H104)</f>
        <v>34.11</v>
      </c>
    </row>
    <row r="108" ht="12.75">
      <c r="A108" s="226"/>
    </row>
    <row r="109" ht="12.75">
      <c r="A109" s="226"/>
    </row>
    <row r="110" spans="1:8" ht="135" customHeight="1">
      <c r="A110" s="226"/>
      <c r="B110" s="227" t="s">
        <v>311</v>
      </c>
      <c r="C110" s="228"/>
      <c r="D110" s="229" t="s">
        <v>764</v>
      </c>
      <c r="E110" s="229"/>
      <c r="F110" s="229"/>
      <c r="G110" s="229"/>
      <c r="H110" s="230" t="s">
        <v>129</v>
      </c>
    </row>
    <row r="111" spans="1:8" ht="12.75">
      <c r="A111" s="226"/>
      <c r="B111" s="231" t="s">
        <v>700</v>
      </c>
      <c r="C111" s="232" t="s">
        <v>701</v>
      </c>
      <c r="D111" s="232" t="s">
        <v>702</v>
      </c>
      <c r="E111" s="233" t="s">
        <v>703</v>
      </c>
      <c r="F111" s="234" t="s">
        <v>704</v>
      </c>
      <c r="G111" s="232" t="s">
        <v>705</v>
      </c>
      <c r="H111" s="235" t="s">
        <v>706</v>
      </c>
    </row>
    <row r="112" spans="1:8" ht="25.5">
      <c r="A112" s="226"/>
      <c r="B112" s="236" t="s">
        <v>765</v>
      </c>
      <c r="C112" s="237" t="s">
        <v>766</v>
      </c>
      <c r="D112" s="238" t="s">
        <v>767</v>
      </c>
      <c r="E112" s="239" t="s">
        <v>82</v>
      </c>
      <c r="F112" s="240">
        <v>1.6</v>
      </c>
      <c r="G112" s="241">
        <v>52.5</v>
      </c>
      <c r="H112" s="242">
        <f aca="true" t="shared" si="9" ref="H112:H118">ROUND(F112*G112,2)</f>
        <v>84</v>
      </c>
    </row>
    <row r="113" spans="1:8" ht="51">
      <c r="A113" s="226"/>
      <c r="B113" s="236" t="s">
        <v>765</v>
      </c>
      <c r="C113" s="237" t="s">
        <v>397</v>
      </c>
      <c r="D113" s="270" t="s">
        <v>768</v>
      </c>
      <c r="E113" s="271" t="s">
        <v>142</v>
      </c>
      <c r="F113" s="240">
        <v>0.10530000000000002</v>
      </c>
      <c r="G113" s="241">
        <v>60.02</v>
      </c>
      <c r="H113" s="242">
        <f t="shared" si="9"/>
        <v>6.32</v>
      </c>
    </row>
    <row r="114" spans="1:8" ht="25.5">
      <c r="A114" s="226"/>
      <c r="B114" s="236" t="s">
        <v>56</v>
      </c>
      <c r="C114" s="237" t="s">
        <v>179</v>
      </c>
      <c r="D114" s="238" t="s">
        <v>769</v>
      </c>
      <c r="E114" s="239" t="s">
        <v>178</v>
      </c>
      <c r="F114" s="240">
        <v>4.0722000000000005</v>
      </c>
      <c r="G114" s="241">
        <v>12.21</v>
      </c>
      <c r="H114" s="242">
        <f t="shared" si="9"/>
        <v>49.72</v>
      </c>
    </row>
    <row r="115" spans="1:8" ht="38.25">
      <c r="A115" s="226"/>
      <c r="B115" s="236" t="s">
        <v>56</v>
      </c>
      <c r="C115" s="237" t="s">
        <v>182</v>
      </c>
      <c r="D115" s="238" t="s">
        <v>770</v>
      </c>
      <c r="E115" s="239" t="s">
        <v>142</v>
      </c>
      <c r="F115" s="240">
        <v>0.08910000000000003</v>
      </c>
      <c r="G115" s="241">
        <v>695.88</v>
      </c>
      <c r="H115" s="242">
        <f t="shared" si="9"/>
        <v>62</v>
      </c>
    </row>
    <row r="116" spans="1:8" ht="25.5">
      <c r="A116" s="226"/>
      <c r="B116" s="236" t="s">
        <v>125</v>
      </c>
      <c r="C116" s="237">
        <v>88309</v>
      </c>
      <c r="D116" s="238" t="s">
        <v>752</v>
      </c>
      <c r="E116" s="239" t="s">
        <v>713</v>
      </c>
      <c r="F116" s="240">
        <v>0.5</v>
      </c>
      <c r="G116" s="241">
        <v>22.37</v>
      </c>
      <c r="H116" s="242">
        <f t="shared" si="9"/>
        <v>11.19</v>
      </c>
    </row>
    <row r="117" spans="1:8" ht="25.5">
      <c r="A117" s="226"/>
      <c r="B117" s="236" t="s">
        <v>125</v>
      </c>
      <c r="C117" s="237">
        <v>88316</v>
      </c>
      <c r="D117" s="238" t="s">
        <v>712</v>
      </c>
      <c r="E117" s="239" t="s">
        <v>713</v>
      </c>
      <c r="F117" s="240">
        <v>0.5</v>
      </c>
      <c r="G117" s="241">
        <v>16.21</v>
      </c>
      <c r="H117" s="242">
        <f t="shared" si="9"/>
        <v>8.11</v>
      </c>
    </row>
    <row r="118" spans="1:8" ht="38.25">
      <c r="A118" s="226"/>
      <c r="B118" s="236" t="s">
        <v>727</v>
      </c>
      <c r="C118" s="237">
        <v>39746</v>
      </c>
      <c r="D118" s="238" t="s">
        <v>771</v>
      </c>
      <c r="E118" s="239" t="s">
        <v>733</v>
      </c>
      <c r="F118" s="240">
        <v>1</v>
      </c>
      <c r="G118" s="241">
        <v>404.84</v>
      </c>
      <c r="H118" s="242">
        <f t="shared" si="9"/>
        <v>404.84</v>
      </c>
    </row>
    <row r="119" spans="1:8" ht="12.75">
      <c r="A119" s="226"/>
      <c r="B119" s="243"/>
      <c r="C119" s="244"/>
      <c r="D119" s="245"/>
      <c r="E119" s="246"/>
      <c r="F119" s="247"/>
      <c r="G119" s="248"/>
      <c r="H119" s="249"/>
    </row>
    <row r="120" spans="1:8" ht="12.75">
      <c r="A120" s="226"/>
      <c r="B120" s="250" t="s">
        <v>709</v>
      </c>
      <c r="C120" s="251"/>
      <c r="D120" s="245"/>
      <c r="E120" s="252"/>
      <c r="F120" s="253"/>
      <c r="G120" s="254"/>
      <c r="H120" s="255"/>
    </row>
    <row r="121" spans="1:8" ht="12.75">
      <c r="A121" s="226"/>
      <c r="B121" s="256"/>
      <c r="C121" s="257"/>
      <c r="D121" s="258" t="s">
        <v>710</v>
      </c>
      <c r="E121" s="258"/>
      <c r="F121" s="258"/>
      <c r="G121" s="258"/>
      <c r="H121" s="259">
        <f>SUM(H112:H118)</f>
        <v>626.18</v>
      </c>
    </row>
    <row r="122" ht="12.75">
      <c r="A122" s="226"/>
    </row>
    <row r="123" ht="12.75">
      <c r="A123" s="226"/>
    </row>
    <row r="124" spans="1:8" ht="12.75" customHeight="1">
      <c r="A124" s="226"/>
      <c r="B124" s="227" t="s">
        <v>766</v>
      </c>
      <c r="C124" s="228"/>
      <c r="D124" s="229" t="s">
        <v>767</v>
      </c>
      <c r="E124" s="229"/>
      <c r="F124" s="229"/>
      <c r="G124" s="229"/>
      <c r="H124" s="230" t="s">
        <v>82</v>
      </c>
    </row>
    <row r="125" spans="1:8" ht="12.75">
      <c r="A125" s="226"/>
      <c r="B125" s="231" t="s">
        <v>700</v>
      </c>
      <c r="C125" s="232" t="s">
        <v>701</v>
      </c>
      <c r="D125" s="232" t="s">
        <v>702</v>
      </c>
      <c r="E125" s="233" t="s">
        <v>703</v>
      </c>
      <c r="F125" s="234" t="s">
        <v>704</v>
      </c>
      <c r="G125" s="232" t="s">
        <v>705</v>
      </c>
      <c r="H125" s="235" t="s">
        <v>706</v>
      </c>
    </row>
    <row r="126" spans="1:8" ht="25.5">
      <c r="A126" s="226"/>
      <c r="B126" s="236" t="s">
        <v>56</v>
      </c>
      <c r="C126" s="237" t="s">
        <v>772</v>
      </c>
      <c r="D126" s="238" t="s">
        <v>773</v>
      </c>
      <c r="E126" s="239" t="s">
        <v>82</v>
      </c>
      <c r="F126" s="240">
        <v>1.5</v>
      </c>
      <c r="G126" s="241">
        <v>35</v>
      </c>
      <c r="H126" s="242">
        <f>ROUND(F126*G126,2)</f>
        <v>52.5</v>
      </c>
    </row>
    <row r="127" spans="1:8" ht="12.75">
      <c r="A127" s="226"/>
      <c r="B127" s="243"/>
      <c r="C127" s="244"/>
      <c r="D127" s="245"/>
      <c r="E127" s="246"/>
      <c r="F127" s="247"/>
      <c r="G127" s="248"/>
      <c r="H127" s="249"/>
    </row>
    <row r="128" spans="1:8" ht="12.75">
      <c r="A128" s="226"/>
      <c r="B128" s="250" t="s">
        <v>709</v>
      </c>
      <c r="C128" s="251"/>
      <c r="D128" s="245"/>
      <c r="E128" s="252"/>
      <c r="F128" s="253"/>
      <c r="G128" s="254"/>
      <c r="H128" s="255"/>
    </row>
    <row r="129" spans="1:8" ht="25.5">
      <c r="A129" s="226"/>
      <c r="B129" s="272" t="s">
        <v>774</v>
      </c>
      <c r="C129" s="266" t="s">
        <v>775</v>
      </c>
      <c r="D129" s="267" t="s">
        <v>710</v>
      </c>
      <c r="E129" s="267"/>
      <c r="F129" s="267"/>
      <c r="G129" s="267"/>
      <c r="H129" s="268">
        <f>SUM(H126:H126)</f>
        <v>52.5</v>
      </c>
    </row>
    <row r="130" ht="12.75">
      <c r="A130" s="226"/>
    </row>
    <row r="131" ht="12.75">
      <c r="A131" s="226"/>
    </row>
    <row r="132" spans="1:8" ht="30" customHeight="1">
      <c r="A132" s="226"/>
      <c r="B132" s="227" t="s">
        <v>314</v>
      </c>
      <c r="C132" s="228"/>
      <c r="D132" s="229" t="s">
        <v>776</v>
      </c>
      <c r="E132" s="229"/>
      <c r="F132" s="229"/>
      <c r="G132" s="229"/>
      <c r="H132" s="230" t="s">
        <v>86</v>
      </c>
    </row>
    <row r="133" spans="1:8" ht="12.75">
      <c r="A133" s="226"/>
      <c r="B133" s="231" t="s">
        <v>700</v>
      </c>
      <c r="C133" s="232" t="s">
        <v>701</v>
      </c>
      <c r="D133" s="232" t="s">
        <v>702</v>
      </c>
      <c r="E133" s="233" t="s">
        <v>703</v>
      </c>
      <c r="F133" s="234" t="s">
        <v>704</v>
      </c>
      <c r="G133" s="232" t="s">
        <v>705</v>
      </c>
      <c r="H133" s="235" t="s">
        <v>706</v>
      </c>
    </row>
    <row r="134" spans="1:8" ht="25.5">
      <c r="A134" s="226"/>
      <c r="B134" s="236" t="s">
        <v>125</v>
      </c>
      <c r="C134" s="237">
        <v>88309</v>
      </c>
      <c r="D134" s="238" t="s">
        <v>752</v>
      </c>
      <c r="E134" s="239" t="s">
        <v>713</v>
      </c>
      <c r="F134" s="240">
        <v>2</v>
      </c>
      <c r="G134" s="241">
        <v>22.37</v>
      </c>
      <c r="H134" s="242">
        <f aca="true" t="shared" si="10" ref="H134:H135">ROUND(F134*G134,2)</f>
        <v>44.74</v>
      </c>
    </row>
    <row r="135" spans="1:8" ht="25.5">
      <c r="A135" s="226"/>
      <c r="B135" s="236" t="s">
        <v>125</v>
      </c>
      <c r="C135" s="237">
        <v>88316</v>
      </c>
      <c r="D135" s="238" t="s">
        <v>712</v>
      </c>
      <c r="E135" s="239" t="s">
        <v>713</v>
      </c>
      <c r="F135" s="240">
        <v>2</v>
      </c>
      <c r="G135" s="241">
        <v>16.21</v>
      </c>
      <c r="H135" s="242">
        <f t="shared" si="10"/>
        <v>32.42</v>
      </c>
    </row>
    <row r="136" spans="1:8" ht="12.75">
      <c r="A136" s="226"/>
      <c r="B136" s="243"/>
      <c r="C136" s="244"/>
      <c r="D136" s="245"/>
      <c r="E136" s="246"/>
      <c r="F136" s="247"/>
      <c r="G136" s="248"/>
      <c r="H136" s="249"/>
    </row>
    <row r="137" spans="1:8" ht="12.75">
      <c r="A137" s="226"/>
      <c r="B137" s="250" t="s">
        <v>709</v>
      </c>
      <c r="C137" s="251"/>
      <c r="D137" s="245"/>
      <c r="E137" s="252"/>
      <c r="F137" s="253"/>
      <c r="G137" s="254"/>
      <c r="H137" s="255"/>
    </row>
    <row r="138" spans="1:8" ht="12.75">
      <c r="A138" s="226"/>
      <c r="B138" s="256"/>
      <c r="C138" s="257"/>
      <c r="D138" s="258" t="s">
        <v>710</v>
      </c>
      <c r="E138" s="258"/>
      <c r="F138" s="258"/>
      <c r="G138" s="258"/>
      <c r="H138" s="259">
        <f>SUM(H134:H135)</f>
        <v>77.16</v>
      </c>
    </row>
    <row r="139" ht="12.75">
      <c r="A139" s="226"/>
    </row>
    <row r="140" ht="12.75">
      <c r="A140" s="226"/>
    </row>
    <row r="141" spans="1:8" ht="135" customHeight="1">
      <c r="A141" s="226"/>
      <c r="B141" s="227" t="s">
        <v>319</v>
      </c>
      <c r="C141" s="228"/>
      <c r="D141" s="229" t="s">
        <v>777</v>
      </c>
      <c r="E141" s="229"/>
      <c r="F141" s="229"/>
      <c r="G141" s="229"/>
      <c r="H141" s="230" t="s">
        <v>86</v>
      </c>
    </row>
    <row r="142" spans="1:8" ht="12.75">
      <c r="A142" s="226"/>
      <c r="B142" s="231" t="s">
        <v>700</v>
      </c>
      <c r="C142" s="232" t="s">
        <v>701</v>
      </c>
      <c r="D142" s="232" t="s">
        <v>702</v>
      </c>
      <c r="E142" s="233" t="s">
        <v>703</v>
      </c>
      <c r="F142" s="234" t="s">
        <v>704</v>
      </c>
      <c r="G142" s="232" t="s">
        <v>705</v>
      </c>
      <c r="H142" s="235" t="s">
        <v>706</v>
      </c>
    </row>
    <row r="143" spans="1:8" ht="51">
      <c r="A143" s="226"/>
      <c r="B143" s="236" t="s">
        <v>765</v>
      </c>
      <c r="C143" s="237" t="s">
        <v>314</v>
      </c>
      <c r="D143" s="238" t="s">
        <v>776</v>
      </c>
      <c r="E143" s="239" t="s">
        <v>86</v>
      </c>
      <c r="F143" s="240">
        <v>1</v>
      </c>
      <c r="G143" s="241">
        <v>77.16</v>
      </c>
      <c r="H143" s="242">
        <f aca="true" t="shared" si="11" ref="H143:H144">ROUND(F143*G143,2)</f>
        <v>77.16</v>
      </c>
    </row>
    <row r="144" spans="1:8" ht="38.25">
      <c r="A144" s="226"/>
      <c r="B144" s="236" t="s">
        <v>727</v>
      </c>
      <c r="C144" s="237">
        <v>14166</v>
      </c>
      <c r="D144" s="238" t="s">
        <v>778</v>
      </c>
      <c r="E144" s="239" t="s">
        <v>733</v>
      </c>
      <c r="F144" s="240">
        <v>1</v>
      </c>
      <c r="G144" s="241">
        <v>1516.51</v>
      </c>
      <c r="H144" s="242">
        <f t="shared" si="11"/>
        <v>1516.51</v>
      </c>
    </row>
    <row r="145" spans="1:8" ht="12.75">
      <c r="A145" s="226"/>
      <c r="B145" s="243"/>
      <c r="C145" s="244"/>
      <c r="D145" s="245"/>
      <c r="E145" s="246"/>
      <c r="F145" s="247"/>
      <c r="G145" s="248"/>
      <c r="H145" s="249"/>
    </row>
    <row r="146" spans="1:8" ht="12.75">
      <c r="A146" s="226"/>
      <c r="B146" s="250" t="s">
        <v>709</v>
      </c>
      <c r="C146" s="251"/>
      <c r="D146" s="245"/>
      <c r="E146" s="252"/>
      <c r="F146" s="253"/>
      <c r="G146" s="254"/>
      <c r="H146" s="255"/>
    </row>
    <row r="147" spans="1:8" ht="12.75">
      <c r="A147" s="226"/>
      <c r="B147" s="256"/>
      <c r="C147" s="257"/>
      <c r="D147" s="258" t="s">
        <v>710</v>
      </c>
      <c r="E147" s="258"/>
      <c r="F147" s="258"/>
      <c r="G147" s="258"/>
      <c r="H147" s="259">
        <f>SUM(H143:H144)</f>
        <v>1593.67</v>
      </c>
    </row>
    <row r="148" ht="12.75">
      <c r="A148" s="226"/>
    </row>
    <row r="149" ht="12.75">
      <c r="A149" s="226"/>
    </row>
    <row r="150" spans="1:8" ht="30" customHeight="1">
      <c r="A150" s="226"/>
      <c r="B150" s="227" t="s">
        <v>130</v>
      </c>
      <c r="C150" s="228"/>
      <c r="D150" s="229" t="s">
        <v>779</v>
      </c>
      <c r="E150" s="229"/>
      <c r="F150" s="229"/>
      <c r="G150" s="229"/>
      <c r="H150" s="230" t="s">
        <v>129</v>
      </c>
    </row>
    <row r="151" spans="1:8" ht="12.75">
      <c r="A151" s="226"/>
      <c r="B151" s="231" t="s">
        <v>700</v>
      </c>
      <c r="C151" s="232" t="s">
        <v>701</v>
      </c>
      <c r="D151" s="232" t="s">
        <v>702</v>
      </c>
      <c r="E151" s="233" t="s">
        <v>703</v>
      </c>
      <c r="F151" s="234" t="s">
        <v>704</v>
      </c>
      <c r="G151" s="232" t="s">
        <v>705</v>
      </c>
      <c r="H151" s="235" t="s">
        <v>706</v>
      </c>
    </row>
    <row r="152" spans="1:8" ht="25.5">
      <c r="A152" s="226"/>
      <c r="B152" s="236" t="s">
        <v>125</v>
      </c>
      <c r="C152" s="237">
        <v>88316</v>
      </c>
      <c r="D152" s="238" t="s">
        <v>712</v>
      </c>
      <c r="E152" s="239" t="s">
        <v>713</v>
      </c>
      <c r="F152" s="240">
        <v>4</v>
      </c>
      <c r="G152" s="241">
        <v>16.21</v>
      </c>
      <c r="H152" s="242">
        <f>ROUND(F152*G152,2)</f>
        <v>64.84</v>
      </c>
    </row>
    <row r="153" spans="1:8" ht="12.75">
      <c r="A153" s="226"/>
      <c r="B153" s="243"/>
      <c r="C153" s="244"/>
      <c r="D153" s="245"/>
      <c r="E153" s="246"/>
      <c r="F153" s="247"/>
      <c r="G153" s="248"/>
      <c r="H153" s="249"/>
    </row>
    <row r="154" spans="1:8" ht="12.75">
      <c r="A154" s="226"/>
      <c r="B154" s="250" t="s">
        <v>709</v>
      </c>
      <c r="C154" s="251"/>
      <c r="D154" s="245"/>
      <c r="E154" s="252"/>
      <c r="F154" s="253"/>
      <c r="G154" s="254"/>
      <c r="H154" s="255"/>
    </row>
    <row r="155" spans="1:8" ht="12.75">
      <c r="A155" s="226"/>
      <c r="B155" s="256"/>
      <c r="C155" s="257"/>
      <c r="D155" s="258" t="s">
        <v>710</v>
      </c>
      <c r="E155" s="258"/>
      <c r="F155" s="258"/>
      <c r="G155" s="258"/>
      <c r="H155" s="259">
        <f>SUM(H152:H152)</f>
        <v>64.84</v>
      </c>
    </row>
    <row r="156" ht="12.75">
      <c r="A156" s="226"/>
    </row>
    <row r="157" ht="12.75">
      <c r="A157" s="226"/>
    </row>
    <row r="158" spans="1:8" ht="30" customHeight="1">
      <c r="A158" s="226"/>
      <c r="B158" s="227" t="s">
        <v>132</v>
      </c>
      <c r="C158" s="228"/>
      <c r="D158" s="229" t="s">
        <v>780</v>
      </c>
      <c r="E158" s="229"/>
      <c r="F158" s="229"/>
      <c r="G158" s="229"/>
      <c r="H158" s="230" t="s">
        <v>129</v>
      </c>
    </row>
    <row r="159" spans="1:8" ht="12.75">
      <c r="A159" s="226"/>
      <c r="B159" s="231" t="s">
        <v>700</v>
      </c>
      <c r="C159" s="232" t="s">
        <v>701</v>
      </c>
      <c r="D159" s="232" t="s">
        <v>702</v>
      </c>
      <c r="E159" s="233" t="s">
        <v>703</v>
      </c>
      <c r="F159" s="234" t="s">
        <v>704</v>
      </c>
      <c r="G159" s="232" t="s">
        <v>705</v>
      </c>
      <c r="H159" s="235" t="s">
        <v>706</v>
      </c>
    </row>
    <row r="160" spans="1:8" ht="25.5">
      <c r="A160" s="226"/>
      <c r="B160" s="236" t="s">
        <v>125</v>
      </c>
      <c r="C160" s="237">
        <v>88316</v>
      </c>
      <c r="D160" s="238" t="s">
        <v>712</v>
      </c>
      <c r="E160" s="239" t="s">
        <v>713</v>
      </c>
      <c r="F160" s="240">
        <v>2</v>
      </c>
      <c r="G160" s="241">
        <v>16.21</v>
      </c>
      <c r="H160" s="242">
        <f>ROUND(F160*G160,2)</f>
        <v>32.42</v>
      </c>
    </row>
    <row r="161" spans="1:8" ht="12.75">
      <c r="A161" s="226"/>
      <c r="B161" s="243"/>
      <c r="C161" s="244"/>
      <c r="D161" s="245"/>
      <c r="E161" s="246"/>
      <c r="F161" s="247"/>
      <c r="G161" s="248"/>
      <c r="H161" s="249"/>
    </row>
    <row r="162" spans="1:8" ht="12.75">
      <c r="A162" s="226"/>
      <c r="B162" s="250" t="s">
        <v>709</v>
      </c>
      <c r="C162" s="251"/>
      <c r="D162" s="245"/>
      <c r="E162" s="252"/>
      <c r="F162" s="253"/>
      <c r="G162" s="254"/>
      <c r="H162" s="255"/>
    </row>
    <row r="163" spans="1:8" ht="12.75">
      <c r="A163" s="226"/>
      <c r="B163" s="256"/>
      <c r="C163" s="257"/>
      <c r="D163" s="258" t="s">
        <v>710</v>
      </c>
      <c r="E163" s="258"/>
      <c r="F163" s="258"/>
      <c r="G163" s="258"/>
      <c r="H163" s="259">
        <f>SUM(H160:H160)</f>
        <v>32.42</v>
      </c>
    </row>
    <row r="164" ht="12.75">
      <c r="A164" s="226"/>
    </row>
    <row r="165" ht="12.75">
      <c r="A165" s="226"/>
    </row>
    <row r="166" spans="1:8" ht="30" customHeight="1">
      <c r="A166" s="226"/>
      <c r="B166" s="227" t="s">
        <v>137</v>
      </c>
      <c r="C166" s="228"/>
      <c r="D166" s="229" t="s">
        <v>781</v>
      </c>
      <c r="E166" s="229"/>
      <c r="F166" s="229"/>
      <c r="G166" s="229"/>
      <c r="H166" s="230" t="s">
        <v>55</v>
      </c>
    </row>
    <row r="167" spans="1:8" ht="12.75">
      <c r="A167" s="226"/>
      <c r="B167" s="231" t="s">
        <v>700</v>
      </c>
      <c r="C167" s="232" t="s">
        <v>701</v>
      </c>
      <c r="D167" s="232" t="s">
        <v>702</v>
      </c>
      <c r="E167" s="233" t="s">
        <v>703</v>
      </c>
      <c r="F167" s="234" t="s">
        <v>704</v>
      </c>
      <c r="G167" s="232" t="s">
        <v>705</v>
      </c>
      <c r="H167" s="235" t="s">
        <v>706</v>
      </c>
    </row>
    <row r="168" spans="1:8" ht="25.5">
      <c r="A168" s="226"/>
      <c r="B168" s="236" t="s">
        <v>125</v>
      </c>
      <c r="C168" s="237">
        <v>99058</v>
      </c>
      <c r="D168" s="238" t="s">
        <v>782</v>
      </c>
      <c r="E168" s="239" t="s">
        <v>330</v>
      </c>
      <c r="F168" s="240">
        <v>80</v>
      </c>
      <c r="G168" s="241">
        <v>11.39</v>
      </c>
      <c r="H168" s="242">
        <f>ROUND(F168*G168,2)</f>
        <v>911.2</v>
      </c>
    </row>
    <row r="169" spans="1:8" ht="12.75">
      <c r="A169" s="226"/>
      <c r="B169" s="243"/>
      <c r="C169" s="244"/>
      <c r="D169" s="273" t="s">
        <v>783</v>
      </c>
      <c r="E169" s="246"/>
      <c r="F169" s="247"/>
      <c r="G169" s="248"/>
      <c r="H169" s="249"/>
    </row>
    <row r="170" spans="1:8" ht="12.75">
      <c r="A170" s="226"/>
      <c r="B170" s="250" t="s">
        <v>709</v>
      </c>
      <c r="C170" s="251"/>
      <c r="D170" s="245"/>
      <c r="E170" s="252"/>
      <c r="F170" s="253"/>
      <c r="G170" s="254"/>
      <c r="H170" s="255"/>
    </row>
    <row r="171" spans="1:8" ht="12.75">
      <c r="A171" s="226"/>
      <c r="B171" s="256"/>
      <c r="C171" s="257"/>
      <c r="D171" s="258" t="s">
        <v>710</v>
      </c>
      <c r="E171" s="258"/>
      <c r="F171" s="258"/>
      <c r="G171" s="258"/>
      <c r="H171" s="259">
        <f>SUM(H168:H168)</f>
        <v>911.2</v>
      </c>
    </row>
    <row r="172" ht="12.75">
      <c r="A172" s="226"/>
    </row>
    <row r="173" ht="12.75">
      <c r="A173" s="226"/>
    </row>
    <row r="174" spans="1:8" ht="90" customHeight="1">
      <c r="A174" s="226"/>
      <c r="B174" s="227" t="s">
        <v>146</v>
      </c>
      <c r="C174" s="228"/>
      <c r="D174" s="229" t="s">
        <v>784</v>
      </c>
      <c r="E174" s="229"/>
      <c r="F174" s="229"/>
      <c r="G174" s="229"/>
      <c r="H174" s="230" t="s">
        <v>129</v>
      </c>
    </row>
    <row r="175" spans="1:8" ht="12.75">
      <c r="A175" s="226"/>
      <c r="B175" s="231" t="s">
        <v>700</v>
      </c>
      <c r="C175" s="232" t="s">
        <v>701</v>
      </c>
      <c r="D175" s="232" t="s">
        <v>702</v>
      </c>
      <c r="E175" s="233" t="s">
        <v>703</v>
      </c>
      <c r="F175" s="234" t="s">
        <v>704</v>
      </c>
      <c r="G175" s="232" t="s">
        <v>705</v>
      </c>
      <c r="H175" s="235" t="s">
        <v>706</v>
      </c>
    </row>
    <row r="176" spans="1:8" ht="38.25">
      <c r="A176" s="226"/>
      <c r="B176" s="236" t="s">
        <v>61</v>
      </c>
      <c r="C176" s="237" t="s">
        <v>785</v>
      </c>
      <c r="D176" s="238" t="s">
        <v>786</v>
      </c>
      <c r="E176" s="239" t="s">
        <v>787</v>
      </c>
      <c r="F176" s="240">
        <v>1</v>
      </c>
      <c r="G176" s="241">
        <v>112.2</v>
      </c>
      <c r="H176" s="242">
        <f aca="true" t="shared" si="12" ref="H176:H180">ROUND(F176*G176,2)</f>
        <v>112.2</v>
      </c>
    </row>
    <row r="177" spans="1:8" ht="38.25">
      <c r="A177" s="226"/>
      <c r="B177" s="236" t="s">
        <v>61</v>
      </c>
      <c r="C177" s="237" t="s">
        <v>788</v>
      </c>
      <c r="D177" s="238" t="s">
        <v>789</v>
      </c>
      <c r="E177" s="239" t="s">
        <v>787</v>
      </c>
      <c r="F177" s="240">
        <v>1</v>
      </c>
      <c r="G177" s="241">
        <v>76.12</v>
      </c>
      <c r="H177" s="242">
        <f t="shared" si="12"/>
        <v>76.12</v>
      </c>
    </row>
    <row r="178" spans="1:8" ht="38.25">
      <c r="A178" s="226"/>
      <c r="B178" s="236" t="s">
        <v>61</v>
      </c>
      <c r="C178" s="237" t="s">
        <v>790</v>
      </c>
      <c r="D178" s="238" t="s">
        <v>791</v>
      </c>
      <c r="E178" s="239" t="s">
        <v>787</v>
      </c>
      <c r="F178" s="240">
        <v>1</v>
      </c>
      <c r="G178" s="241">
        <v>76.5</v>
      </c>
      <c r="H178" s="242">
        <f t="shared" si="12"/>
        <v>76.5</v>
      </c>
    </row>
    <row r="179" spans="1:8" ht="38.25">
      <c r="A179" s="226"/>
      <c r="B179" s="236" t="s">
        <v>61</v>
      </c>
      <c r="C179" s="237" t="s">
        <v>792</v>
      </c>
      <c r="D179" s="238" t="s">
        <v>793</v>
      </c>
      <c r="E179" s="239" t="s">
        <v>787</v>
      </c>
      <c r="F179" s="240">
        <v>1</v>
      </c>
      <c r="G179" s="241">
        <v>43.1</v>
      </c>
      <c r="H179" s="242">
        <f t="shared" si="12"/>
        <v>43.1</v>
      </c>
    </row>
    <row r="180" spans="1:8" ht="38.25">
      <c r="A180" s="226"/>
      <c r="B180" s="236" t="s">
        <v>61</v>
      </c>
      <c r="C180" s="237" t="s">
        <v>794</v>
      </c>
      <c r="D180" s="238" t="s">
        <v>795</v>
      </c>
      <c r="E180" s="239" t="s">
        <v>787</v>
      </c>
      <c r="F180" s="240">
        <v>1</v>
      </c>
      <c r="G180" s="241">
        <v>91.35</v>
      </c>
      <c r="H180" s="242">
        <f t="shared" si="12"/>
        <v>91.35</v>
      </c>
    </row>
    <row r="181" spans="1:8" ht="12.75">
      <c r="A181" s="226"/>
      <c r="B181" s="243"/>
      <c r="C181" s="244"/>
      <c r="D181" s="245"/>
      <c r="E181" s="246"/>
      <c r="F181" s="247"/>
      <c r="G181" s="248"/>
      <c r="H181" s="249"/>
    </row>
    <row r="182" spans="1:8" ht="12.75">
      <c r="A182" s="226"/>
      <c r="B182" s="250" t="s">
        <v>709</v>
      </c>
      <c r="C182" s="251"/>
      <c r="D182" s="245"/>
      <c r="E182" s="252"/>
      <c r="F182" s="253"/>
      <c r="G182" s="254"/>
      <c r="H182" s="255"/>
    </row>
    <row r="183" spans="1:8" ht="12.75">
      <c r="A183" s="226"/>
      <c r="B183" s="256"/>
      <c r="C183" s="257"/>
      <c r="D183" s="258" t="s">
        <v>710</v>
      </c>
      <c r="E183" s="258"/>
      <c r="F183" s="258"/>
      <c r="G183" s="258"/>
      <c r="H183" s="259">
        <f>SUM(H176:H180)</f>
        <v>399.27</v>
      </c>
    </row>
    <row r="184" ht="12.75">
      <c r="A184" s="226"/>
    </row>
    <row r="185" ht="12.75">
      <c r="A185" s="226"/>
    </row>
    <row r="186" spans="1:8" ht="12.75" customHeight="1">
      <c r="A186" s="226"/>
      <c r="B186" s="227" t="s">
        <v>388</v>
      </c>
      <c r="C186" s="228"/>
      <c r="D186" s="229" t="s">
        <v>796</v>
      </c>
      <c r="E186" s="229"/>
      <c r="F186" s="229"/>
      <c r="G186" s="229"/>
      <c r="H186" s="230" t="s">
        <v>82</v>
      </c>
    </row>
    <row r="187" spans="1:8" ht="12.75">
      <c r="A187" s="226"/>
      <c r="B187" s="231" t="s">
        <v>700</v>
      </c>
      <c r="C187" s="232" t="s">
        <v>701</v>
      </c>
      <c r="D187" s="232" t="s">
        <v>702</v>
      </c>
      <c r="E187" s="233" t="s">
        <v>703</v>
      </c>
      <c r="F187" s="234" t="s">
        <v>704</v>
      </c>
      <c r="G187" s="232" t="s">
        <v>705</v>
      </c>
      <c r="H187" s="235" t="s">
        <v>706</v>
      </c>
    </row>
    <row r="188" spans="1:8" ht="25.5">
      <c r="A188" s="226"/>
      <c r="B188" s="236" t="s">
        <v>125</v>
      </c>
      <c r="C188" s="237">
        <v>88309</v>
      </c>
      <c r="D188" s="238" t="s">
        <v>752</v>
      </c>
      <c r="E188" s="239" t="s">
        <v>713</v>
      </c>
      <c r="F188" s="240">
        <v>0.25</v>
      </c>
      <c r="G188" s="241">
        <v>22.37</v>
      </c>
      <c r="H188" s="242">
        <f aca="true" t="shared" si="13" ref="H188:H190">ROUND(F188*G188,2)</f>
        <v>5.59</v>
      </c>
    </row>
    <row r="189" spans="1:8" ht="25.5">
      <c r="A189" s="226"/>
      <c r="B189" s="236" t="s">
        <v>125</v>
      </c>
      <c r="C189" s="237">
        <v>88316</v>
      </c>
      <c r="D189" s="238" t="s">
        <v>712</v>
      </c>
      <c r="E189" s="239" t="s">
        <v>713</v>
      </c>
      <c r="F189" s="240">
        <v>0.25</v>
      </c>
      <c r="G189" s="241">
        <v>16.21</v>
      </c>
      <c r="H189" s="242">
        <f t="shared" si="13"/>
        <v>4.05</v>
      </c>
    </row>
    <row r="190" spans="1:8" ht="25.5">
      <c r="A190" s="226"/>
      <c r="B190" s="236" t="s">
        <v>742</v>
      </c>
      <c r="D190" s="274" t="s">
        <v>797</v>
      </c>
      <c r="E190" s="239" t="s">
        <v>82</v>
      </c>
      <c r="F190" s="240">
        <v>1</v>
      </c>
      <c r="G190" s="241">
        <v>346.7439024390244</v>
      </c>
      <c r="H190" s="242">
        <f t="shared" si="13"/>
        <v>346.74</v>
      </c>
    </row>
    <row r="191" spans="1:8" ht="12.75">
      <c r="A191" s="226"/>
      <c r="B191" s="243"/>
      <c r="C191" s="244"/>
      <c r="D191" s="245"/>
      <c r="E191" s="246"/>
      <c r="F191" s="247"/>
      <c r="G191" s="248"/>
      <c r="H191" s="249"/>
    </row>
    <row r="192" spans="1:8" ht="12.75">
      <c r="A192" s="226"/>
      <c r="B192" s="250" t="s">
        <v>709</v>
      </c>
      <c r="C192" s="251"/>
      <c r="D192" s="245"/>
      <c r="E192" s="252"/>
      <c r="F192" s="253"/>
      <c r="G192" s="254"/>
      <c r="H192" s="255"/>
    </row>
    <row r="193" spans="1:8" ht="12.75">
      <c r="A193" s="226"/>
      <c r="B193" s="256"/>
      <c r="C193" s="257"/>
      <c r="D193" s="258" t="s">
        <v>710</v>
      </c>
      <c r="E193" s="258"/>
      <c r="F193" s="258"/>
      <c r="G193" s="258"/>
      <c r="H193" s="259">
        <f>SUM(H188:H190)</f>
        <v>356.38</v>
      </c>
    </row>
    <row r="194" ht="12.75">
      <c r="A194" s="226"/>
    </row>
    <row r="195" ht="12.75">
      <c r="A195" s="226"/>
    </row>
    <row r="196" spans="1:8" ht="30" customHeight="1">
      <c r="A196" s="226"/>
      <c r="B196" s="227" t="s">
        <v>449</v>
      </c>
      <c r="C196" s="228"/>
      <c r="D196" s="229" t="s">
        <v>798</v>
      </c>
      <c r="E196" s="229"/>
      <c r="F196" s="229"/>
      <c r="G196" s="229"/>
      <c r="H196" s="230" t="s">
        <v>86</v>
      </c>
    </row>
    <row r="197" spans="1:8" ht="12.75">
      <c r="A197" s="226"/>
      <c r="B197" s="231" t="s">
        <v>700</v>
      </c>
      <c r="C197" s="232" t="s">
        <v>701</v>
      </c>
      <c r="D197" s="232" t="s">
        <v>702</v>
      </c>
      <c r="E197" s="233" t="s">
        <v>703</v>
      </c>
      <c r="F197" s="234" t="s">
        <v>704</v>
      </c>
      <c r="G197" s="232" t="s">
        <v>705</v>
      </c>
      <c r="H197" s="235" t="s">
        <v>706</v>
      </c>
    </row>
    <row r="198" spans="1:8" ht="25.5">
      <c r="A198" s="226"/>
      <c r="B198" s="236" t="s">
        <v>125</v>
      </c>
      <c r="C198" s="237">
        <v>88316</v>
      </c>
      <c r="D198" s="238" t="s">
        <v>712</v>
      </c>
      <c r="E198" s="239" t="s">
        <v>713</v>
      </c>
      <c r="F198" s="240">
        <v>0.3</v>
      </c>
      <c r="G198" s="241">
        <v>16.21</v>
      </c>
      <c r="H198" s="242">
        <f aca="true" t="shared" si="14" ref="H198:H200">ROUND(F198*G198,2)</f>
        <v>4.86</v>
      </c>
    </row>
    <row r="199" spans="1:8" ht="51">
      <c r="A199" s="226"/>
      <c r="B199" s="236" t="s">
        <v>742</v>
      </c>
      <c r="D199" s="238" t="s">
        <v>799</v>
      </c>
      <c r="E199" s="239" t="s">
        <v>86</v>
      </c>
      <c r="F199" s="240">
        <v>1</v>
      </c>
      <c r="G199" s="241">
        <v>58.88333333333333</v>
      </c>
      <c r="H199" s="242">
        <f t="shared" si="14"/>
        <v>58.88</v>
      </c>
    </row>
    <row r="200" spans="1:8" ht="25.5">
      <c r="A200" s="226"/>
      <c r="B200" s="236" t="s">
        <v>742</v>
      </c>
      <c r="D200" s="238" t="s">
        <v>800</v>
      </c>
      <c r="E200" s="275" t="s">
        <v>801</v>
      </c>
      <c r="F200" s="240">
        <v>0.1</v>
      </c>
      <c r="G200" s="241">
        <v>31.12</v>
      </c>
      <c r="H200" s="242">
        <f t="shared" si="14"/>
        <v>3.11</v>
      </c>
    </row>
    <row r="201" spans="1:8" ht="12.75">
      <c r="A201" s="226"/>
      <c r="B201" s="243"/>
      <c r="C201" s="244"/>
      <c r="D201" s="245"/>
      <c r="E201" s="246"/>
      <c r="F201" s="247"/>
      <c r="G201" s="248"/>
      <c r="H201" s="249"/>
    </row>
    <row r="202" spans="1:8" ht="12.75">
      <c r="A202" s="226"/>
      <c r="B202" s="250" t="s">
        <v>709</v>
      </c>
      <c r="C202" s="251"/>
      <c r="D202" s="245"/>
      <c r="E202" s="252"/>
      <c r="F202" s="253"/>
      <c r="G202" s="254"/>
      <c r="H202" s="255"/>
    </row>
    <row r="203" spans="1:8" ht="12.75">
      <c r="A203" s="226"/>
      <c r="B203" s="256"/>
      <c r="C203" s="257"/>
      <c r="D203" s="258" t="s">
        <v>710</v>
      </c>
      <c r="E203" s="258"/>
      <c r="F203" s="258"/>
      <c r="G203" s="258"/>
      <c r="H203" s="259">
        <f>SUM(H198:H200)</f>
        <v>66.85000000000001</v>
      </c>
    </row>
    <row r="204" ht="12.75">
      <c r="A204" s="226"/>
    </row>
    <row r="205" ht="12.75">
      <c r="A205" s="226"/>
    </row>
    <row r="206" spans="1:8" ht="30" customHeight="1">
      <c r="A206" s="226"/>
      <c r="B206" s="227" t="s">
        <v>452</v>
      </c>
      <c r="C206" s="228"/>
      <c r="D206" s="229" t="s">
        <v>802</v>
      </c>
      <c r="E206" s="229"/>
      <c r="F206" s="229"/>
      <c r="G206" s="229"/>
      <c r="H206" s="230" t="s">
        <v>86</v>
      </c>
    </row>
    <row r="207" spans="1:8" ht="12.75">
      <c r="A207" s="226"/>
      <c r="B207" s="231" t="s">
        <v>700</v>
      </c>
      <c r="C207" s="232" t="s">
        <v>701</v>
      </c>
      <c r="D207" s="232" t="s">
        <v>702</v>
      </c>
      <c r="E207" s="233" t="s">
        <v>703</v>
      </c>
      <c r="F207" s="234" t="s">
        <v>704</v>
      </c>
      <c r="G207" s="232" t="s">
        <v>705</v>
      </c>
      <c r="H207" s="235" t="s">
        <v>706</v>
      </c>
    </row>
    <row r="208" spans="1:8" ht="25.5">
      <c r="A208" s="226"/>
      <c r="B208" s="236" t="s">
        <v>125</v>
      </c>
      <c r="C208" s="237">
        <v>88316</v>
      </c>
      <c r="D208" s="238" t="s">
        <v>712</v>
      </c>
      <c r="E208" s="239" t="s">
        <v>713</v>
      </c>
      <c r="F208" s="240">
        <v>0.3</v>
      </c>
      <c r="G208" s="241">
        <v>16.21</v>
      </c>
      <c r="H208" s="242">
        <f aca="true" t="shared" si="15" ref="H208:H210">ROUND(F208*G208,2)</f>
        <v>4.86</v>
      </c>
    </row>
    <row r="209" spans="1:8" ht="51">
      <c r="A209" s="226"/>
      <c r="B209" s="236" t="s">
        <v>742</v>
      </c>
      <c r="D209" s="238" t="s">
        <v>803</v>
      </c>
      <c r="E209" s="239" t="s">
        <v>86</v>
      </c>
      <c r="F209" s="240">
        <v>1</v>
      </c>
      <c r="G209" s="241">
        <v>41.93</v>
      </c>
      <c r="H209" s="242">
        <f t="shared" si="15"/>
        <v>41.93</v>
      </c>
    </row>
    <row r="210" spans="1:8" ht="25.5">
      <c r="A210" s="226"/>
      <c r="B210" s="236" t="s">
        <v>742</v>
      </c>
      <c r="D210" s="238" t="s">
        <v>800</v>
      </c>
      <c r="E210" s="275" t="s">
        <v>801</v>
      </c>
      <c r="F210" s="240">
        <v>0.1</v>
      </c>
      <c r="G210" s="241">
        <v>31.12</v>
      </c>
      <c r="H210" s="242">
        <f t="shared" si="15"/>
        <v>3.11</v>
      </c>
    </row>
    <row r="211" spans="1:8" ht="12.75">
      <c r="A211" s="226"/>
      <c r="B211" s="243"/>
      <c r="C211" s="244"/>
      <c r="D211" s="245"/>
      <c r="E211" s="246"/>
      <c r="F211" s="247"/>
      <c r="G211" s="248"/>
      <c r="H211" s="249"/>
    </row>
    <row r="212" spans="1:8" ht="12.75">
      <c r="A212" s="226"/>
      <c r="B212" s="250" t="s">
        <v>709</v>
      </c>
      <c r="C212" s="251"/>
      <c r="D212" s="245"/>
      <c r="E212" s="252"/>
      <c r="F212" s="253"/>
      <c r="G212" s="254"/>
      <c r="H212" s="255"/>
    </row>
    <row r="213" spans="1:8" ht="12.75">
      <c r="A213" s="226"/>
      <c r="B213" s="256"/>
      <c r="C213" s="257"/>
      <c r="D213" s="258" t="s">
        <v>710</v>
      </c>
      <c r="E213" s="258"/>
      <c r="F213" s="258"/>
      <c r="G213" s="258"/>
      <c r="H213" s="259">
        <f>SUM(H208:H210)</f>
        <v>49.9</v>
      </c>
    </row>
    <row r="214" ht="12.75">
      <c r="A214" s="226"/>
    </row>
    <row r="215" ht="12.75">
      <c r="A215" s="226"/>
    </row>
    <row r="216" spans="1:8" ht="30" customHeight="1">
      <c r="A216" s="226"/>
      <c r="B216" s="227" t="s">
        <v>455</v>
      </c>
      <c r="C216" s="228"/>
      <c r="D216" s="229" t="s">
        <v>804</v>
      </c>
      <c r="E216" s="229"/>
      <c r="F216" s="229"/>
      <c r="G216" s="229"/>
      <c r="H216" s="230" t="s">
        <v>86</v>
      </c>
    </row>
    <row r="217" spans="1:8" ht="12.75">
      <c r="A217" s="226"/>
      <c r="B217" s="231" t="s">
        <v>700</v>
      </c>
      <c r="C217" s="232" t="s">
        <v>701</v>
      </c>
      <c r="D217" s="232" t="s">
        <v>702</v>
      </c>
      <c r="E217" s="233" t="s">
        <v>703</v>
      </c>
      <c r="F217" s="234" t="s">
        <v>704</v>
      </c>
      <c r="G217" s="232" t="s">
        <v>705</v>
      </c>
      <c r="H217" s="235" t="s">
        <v>706</v>
      </c>
    </row>
    <row r="218" spans="1:8" ht="25.5">
      <c r="A218" s="226"/>
      <c r="B218" s="236" t="s">
        <v>125</v>
      </c>
      <c r="C218" s="237">
        <v>88316</v>
      </c>
      <c r="D218" s="238" t="s">
        <v>712</v>
      </c>
      <c r="E218" s="239" t="s">
        <v>713</v>
      </c>
      <c r="F218" s="240">
        <v>0.3</v>
      </c>
      <c r="G218" s="241">
        <v>16.21</v>
      </c>
      <c r="H218" s="242">
        <f aca="true" t="shared" si="16" ref="H218:H220">ROUND(F218*G218,2)</f>
        <v>4.86</v>
      </c>
    </row>
    <row r="219" spans="1:8" ht="51">
      <c r="A219" s="226"/>
      <c r="B219" s="236" t="s">
        <v>742</v>
      </c>
      <c r="D219" s="238" t="s">
        <v>805</v>
      </c>
      <c r="E219" s="239" t="s">
        <v>86</v>
      </c>
      <c r="F219" s="240">
        <v>1</v>
      </c>
      <c r="G219" s="241">
        <v>19.23</v>
      </c>
      <c r="H219" s="242">
        <f t="shared" si="16"/>
        <v>19.23</v>
      </c>
    </row>
    <row r="220" spans="1:8" ht="25.5">
      <c r="A220" s="226"/>
      <c r="B220" s="236" t="s">
        <v>742</v>
      </c>
      <c r="D220" s="238" t="s">
        <v>800</v>
      </c>
      <c r="E220" s="275" t="s">
        <v>801</v>
      </c>
      <c r="F220" s="240">
        <v>0.1</v>
      </c>
      <c r="G220" s="241">
        <v>31.12</v>
      </c>
      <c r="H220" s="242">
        <f t="shared" si="16"/>
        <v>3.11</v>
      </c>
    </row>
    <row r="221" spans="1:8" ht="12.75">
      <c r="A221" s="226"/>
      <c r="B221" s="243"/>
      <c r="C221" s="244"/>
      <c r="D221" s="245"/>
      <c r="E221" s="246"/>
      <c r="F221" s="247"/>
      <c r="G221" s="248"/>
      <c r="H221" s="249"/>
    </row>
    <row r="222" spans="1:8" ht="12.75">
      <c r="A222" s="226"/>
      <c r="B222" s="250" t="s">
        <v>709</v>
      </c>
      <c r="C222" s="251"/>
      <c r="D222" s="245"/>
      <c r="E222" s="252"/>
      <c r="F222" s="253"/>
      <c r="G222" s="254"/>
      <c r="H222" s="255"/>
    </row>
    <row r="223" spans="1:8" ht="12.75">
      <c r="A223" s="226"/>
      <c r="B223" s="256"/>
      <c r="C223" s="257"/>
      <c r="D223" s="258" t="s">
        <v>710</v>
      </c>
      <c r="E223" s="258"/>
      <c r="F223" s="258"/>
      <c r="G223" s="258"/>
      <c r="H223" s="259">
        <f>SUM(H218:H220)</f>
        <v>27.2</v>
      </c>
    </row>
    <row r="224" ht="12.75">
      <c r="A224" s="226"/>
    </row>
    <row r="225" ht="12.75">
      <c r="A225" s="226"/>
    </row>
    <row r="226" spans="1:8" ht="30" customHeight="1">
      <c r="A226" s="226"/>
      <c r="B226" s="227" t="s">
        <v>415</v>
      </c>
      <c r="C226" s="228"/>
      <c r="D226" s="229" t="s">
        <v>806</v>
      </c>
      <c r="E226" s="229"/>
      <c r="F226" s="229"/>
      <c r="G226" s="229"/>
      <c r="H226" s="230" t="s">
        <v>86</v>
      </c>
    </row>
    <row r="227" spans="1:8" ht="12.75">
      <c r="A227" s="226"/>
      <c r="B227" s="231" t="s">
        <v>700</v>
      </c>
      <c r="C227" s="232" t="s">
        <v>701</v>
      </c>
      <c r="D227" s="232" t="s">
        <v>702</v>
      </c>
      <c r="E227" s="233" t="s">
        <v>703</v>
      </c>
      <c r="F227" s="234" t="s">
        <v>704</v>
      </c>
      <c r="G227" s="232" t="s">
        <v>705</v>
      </c>
      <c r="H227" s="235" t="s">
        <v>706</v>
      </c>
    </row>
    <row r="228" spans="1:8" ht="25.5">
      <c r="A228" s="226"/>
      <c r="B228" s="236" t="s">
        <v>125</v>
      </c>
      <c r="C228" s="237">
        <v>88316</v>
      </c>
      <c r="D228" s="238" t="s">
        <v>712</v>
      </c>
      <c r="E228" s="239" t="s">
        <v>713</v>
      </c>
      <c r="F228" s="240">
        <v>0.3</v>
      </c>
      <c r="G228" s="241">
        <v>16.21</v>
      </c>
      <c r="H228" s="242">
        <f aca="true" t="shared" si="17" ref="H228:H230">ROUND(F228*G228,2)</f>
        <v>4.86</v>
      </c>
    </row>
    <row r="229" spans="1:8" ht="38.25">
      <c r="A229" s="226"/>
      <c r="B229" s="236" t="s">
        <v>742</v>
      </c>
      <c r="D229" s="238" t="s">
        <v>807</v>
      </c>
      <c r="E229" s="239" t="s">
        <v>86</v>
      </c>
      <c r="F229" s="240">
        <v>1</v>
      </c>
      <c r="G229" s="241">
        <v>10.96</v>
      </c>
      <c r="H229" s="242">
        <f t="shared" si="17"/>
        <v>10.96</v>
      </c>
    </row>
    <row r="230" spans="1:8" ht="25.5">
      <c r="A230" s="226"/>
      <c r="B230" s="236" t="s">
        <v>742</v>
      </c>
      <c r="D230" s="238" t="s">
        <v>800</v>
      </c>
      <c r="E230" s="275" t="s">
        <v>801</v>
      </c>
      <c r="F230" s="240">
        <v>0.1</v>
      </c>
      <c r="G230" s="241">
        <v>31.12</v>
      </c>
      <c r="H230" s="242">
        <f t="shared" si="17"/>
        <v>3.11</v>
      </c>
    </row>
    <row r="231" spans="1:8" ht="12.75">
      <c r="A231" s="226"/>
      <c r="B231" s="243"/>
      <c r="C231" s="244"/>
      <c r="D231" s="245"/>
      <c r="E231" s="246"/>
      <c r="F231" s="247"/>
      <c r="G231" s="248"/>
      <c r="H231" s="249"/>
    </row>
    <row r="232" spans="1:8" ht="12.75">
      <c r="A232" s="226"/>
      <c r="B232" s="250" t="s">
        <v>709</v>
      </c>
      <c r="C232" s="251"/>
      <c r="D232" s="245"/>
      <c r="E232" s="252"/>
      <c r="F232" s="253"/>
      <c r="G232" s="254"/>
      <c r="H232" s="255"/>
    </row>
    <row r="233" spans="1:8" ht="12.75">
      <c r="A233" s="226"/>
      <c r="B233" s="256"/>
      <c r="C233" s="257"/>
      <c r="D233" s="258" t="s">
        <v>710</v>
      </c>
      <c r="E233" s="258"/>
      <c r="F233" s="258"/>
      <c r="G233" s="258"/>
      <c r="H233" s="259">
        <f>SUM(H228:H230)</f>
        <v>18.93</v>
      </c>
    </row>
    <row r="234" ht="12.75">
      <c r="A234" s="226"/>
    </row>
    <row r="235" ht="12.75">
      <c r="A235" s="226"/>
    </row>
    <row r="236" spans="1:8" ht="12.75" customHeight="1">
      <c r="A236" s="226"/>
      <c r="B236" s="227" t="s">
        <v>418</v>
      </c>
      <c r="C236" s="228"/>
      <c r="D236" s="229" t="s">
        <v>808</v>
      </c>
      <c r="E236" s="229"/>
      <c r="F236" s="229"/>
      <c r="G236" s="229"/>
      <c r="H236" s="230" t="s">
        <v>86</v>
      </c>
    </row>
    <row r="237" spans="1:8" ht="12.75">
      <c r="A237" s="226"/>
      <c r="B237" s="231" t="s">
        <v>700</v>
      </c>
      <c r="C237" s="232" t="s">
        <v>701</v>
      </c>
      <c r="D237" s="232" t="s">
        <v>702</v>
      </c>
      <c r="E237" s="233" t="s">
        <v>703</v>
      </c>
      <c r="F237" s="234" t="s">
        <v>704</v>
      </c>
      <c r="G237" s="232" t="s">
        <v>705</v>
      </c>
      <c r="H237" s="235" t="s">
        <v>706</v>
      </c>
    </row>
    <row r="238" spans="1:8" ht="25.5">
      <c r="A238" s="226"/>
      <c r="B238" s="236" t="s">
        <v>125</v>
      </c>
      <c r="C238" s="237">
        <v>88316</v>
      </c>
      <c r="D238" s="238" t="s">
        <v>712</v>
      </c>
      <c r="E238" s="239" t="s">
        <v>713</v>
      </c>
      <c r="F238" s="240">
        <v>0.3</v>
      </c>
      <c r="G238" s="241">
        <v>16.21</v>
      </c>
      <c r="H238" s="242">
        <f aca="true" t="shared" si="18" ref="H238:H240">ROUND(F238*G238,2)</f>
        <v>4.86</v>
      </c>
    </row>
    <row r="239" spans="1:8" ht="12.75">
      <c r="A239" s="226"/>
      <c r="B239" s="236" t="s">
        <v>742</v>
      </c>
      <c r="D239" s="238" t="s">
        <v>809</v>
      </c>
      <c r="E239" s="239" t="s">
        <v>86</v>
      </c>
      <c r="F239" s="240">
        <v>1</v>
      </c>
      <c r="G239" s="241">
        <v>9.780000000000001</v>
      </c>
      <c r="H239" s="242">
        <f t="shared" si="18"/>
        <v>9.78</v>
      </c>
    </row>
    <row r="240" spans="1:8" ht="25.5">
      <c r="A240" s="226"/>
      <c r="B240" s="236" t="s">
        <v>742</v>
      </c>
      <c r="D240" s="238" t="s">
        <v>800</v>
      </c>
      <c r="E240" s="275" t="s">
        <v>801</v>
      </c>
      <c r="F240" s="240">
        <v>0.1</v>
      </c>
      <c r="G240" s="241">
        <v>31.12</v>
      </c>
      <c r="H240" s="242">
        <f t="shared" si="18"/>
        <v>3.11</v>
      </c>
    </row>
    <row r="241" spans="1:8" ht="12.75">
      <c r="A241" s="226"/>
      <c r="B241" s="243"/>
      <c r="C241" s="244"/>
      <c r="D241" s="245"/>
      <c r="E241" s="246"/>
      <c r="F241" s="247"/>
      <c r="G241" s="248"/>
      <c r="H241" s="249"/>
    </row>
    <row r="242" spans="1:8" ht="12.75">
      <c r="A242" s="226"/>
      <c r="B242" s="250" t="s">
        <v>709</v>
      </c>
      <c r="C242" s="251"/>
      <c r="D242" s="245"/>
      <c r="E242" s="252"/>
      <c r="F242" s="253"/>
      <c r="G242" s="254"/>
      <c r="H242" s="255"/>
    </row>
    <row r="243" spans="1:8" ht="12.75">
      <c r="A243" s="226"/>
      <c r="B243" s="256"/>
      <c r="C243" s="257"/>
      <c r="D243" s="258" t="s">
        <v>710</v>
      </c>
      <c r="E243" s="258"/>
      <c r="F243" s="258"/>
      <c r="G243" s="258"/>
      <c r="H243" s="259">
        <f>SUM(H238:H240)</f>
        <v>17.75</v>
      </c>
    </row>
    <row r="244" ht="12.75">
      <c r="A244" s="226"/>
    </row>
    <row r="245" ht="12.75">
      <c r="A245" s="226"/>
    </row>
    <row r="246" spans="1:8" ht="120" customHeight="1">
      <c r="A246" s="226"/>
      <c r="B246" s="227" t="s">
        <v>421</v>
      </c>
      <c r="C246" s="228"/>
      <c r="D246" s="229" t="s">
        <v>810</v>
      </c>
      <c r="E246" s="229"/>
      <c r="F246" s="229"/>
      <c r="G246" s="229"/>
      <c r="H246" s="230" t="s">
        <v>86</v>
      </c>
    </row>
    <row r="247" spans="1:8" ht="12.75">
      <c r="A247" s="226"/>
      <c r="B247" s="231" t="s">
        <v>700</v>
      </c>
      <c r="C247" s="232" t="s">
        <v>701</v>
      </c>
      <c r="D247" s="232" t="s">
        <v>702</v>
      </c>
      <c r="E247" s="233" t="s">
        <v>703</v>
      </c>
      <c r="F247" s="234" t="s">
        <v>704</v>
      </c>
      <c r="G247" s="232" t="s">
        <v>705</v>
      </c>
      <c r="H247" s="235" t="s">
        <v>706</v>
      </c>
    </row>
    <row r="248" spans="1:8" ht="38.25">
      <c r="A248" s="226"/>
      <c r="B248" s="236" t="s">
        <v>125</v>
      </c>
      <c r="C248" s="237">
        <v>88248</v>
      </c>
      <c r="D248" s="238" t="s">
        <v>746</v>
      </c>
      <c r="E248" s="239" t="s">
        <v>713</v>
      </c>
      <c r="F248" s="240">
        <v>3.037</v>
      </c>
      <c r="G248" s="241">
        <v>17.45</v>
      </c>
      <c r="H248" s="242">
        <f aca="true" t="shared" si="19" ref="H248:H259">ROUND(F248*G248,2)</f>
        <v>53</v>
      </c>
    </row>
    <row r="249" spans="1:8" ht="25.5">
      <c r="A249" s="226"/>
      <c r="B249" s="236" t="s">
        <v>125</v>
      </c>
      <c r="C249" s="237">
        <v>88267</v>
      </c>
      <c r="D249" s="238" t="s">
        <v>745</v>
      </c>
      <c r="E249" s="239" t="s">
        <v>713</v>
      </c>
      <c r="F249" s="240">
        <v>3.037</v>
      </c>
      <c r="G249" s="241">
        <v>21.76</v>
      </c>
      <c r="H249" s="242">
        <f t="shared" si="19"/>
        <v>66.09</v>
      </c>
    </row>
    <row r="250" spans="1:8" ht="38.25">
      <c r="A250" s="226"/>
      <c r="B250" s="236" t="s">
        <v>125</v>
      </c>
      <c r="C250" s="237">
        <v>97622</v>
      </c>
      <c r="D250" s="238" t="s">
        <v>811</v>
      </c>
      <c r="E250" s="239" t="s">
        <v>142</v>
      </c>
      <c r="F250" s="240">
        <v>0.154</v>
      </c>
      <c r="G250" s="241">
        <v>42.71</v>
      </c>
      <c r="H250" s="242">
        <f t="shared" si="19"/>
        <v>6.58</v>
      </c>
    </row>
    <row r="251" spans="1:8" ht="51">
      <c r="A251" s="226"/>
      <c r="B251" s="236" t="s">
        <v>125</v>
      </c>
      <c r="C251" s="237">
        <v>88626</v>
      </c>
      <c r="D251" s="238" t="s">
        <v>812</v>
      </c>
      <c r="E251" s="239" t="s">
        <v>142</v>
      </c>
      <c r="F251" s="240">
        <v>0.06219999999999999</v>
      </c>
      <c r="G251" s="241">
        <v>539.56</v>
      </c>
      <c r="H251" s="242">
        <f t="shared" si="19"/>
        <v>33.56</v>
      </c>
    </row>
    <row r="252" spans="1:8" ht="25.5">
      <c r="A252" s="226"/>
      <c r="B252" s="236" t="s">
        <v>125</v>
      </c>
      <c r="C252" s="237">
        <v>88309</v>
      </c>
      <c r="D252" s="238" t="s">
        <v>752</v>
      </c>
      <c r="E252" s="239" t="s">
        <v>713</v>
      </c>
      <c r="F252" s="240">
        <v>1</v>
      </c>
      <c r="G252" s="241">
        <v>22.37</v>
      </c>
      <c r="H252" s="242">
        <f t="shared" si="19"/>
        <v>22.37</v>
      </c>
    </row>
    <row r="253" spans="1:8" ht="25.5">
      <c r="A253" s="226"/>
      <c r="B253" s="236" t="s">
        <v>125</v>
      </c>
      <c r="C253" s="237">
        <v>88316</v>
      </c>
      <c r="D253" s="238" t="s">
        <v>712</v>
      </c>
      <c r="E253" s="239" t="s">
        <v>713</v>
      </c>
      <c r="F253" s="240">
        <v>1</v>
      </c>
      <c r="G253" s="241">
        <v>16.21</v>
      </c>
      <c r="H253" s="242">
        <f t="shared" si="19"/>
        <v>16.21</v>
      </c>
    </row>
    <row r="254" spans="1:8" ht="51">
      <c r="A254" s="226"/>
      <c r="B254" s="236" t="s">
        <v>727</v>
      </c>
      <c r="C254" s="237">
        <v>10900</v>
      </c>
      <c r="D254" s="238" t="s">
        <v>813</v>
      </c>
      <c r="E254" s="239" t="s">
        <v>733</v>
      </c>
      <c r="F254" s="240">
        <v>1</v>
      </c>
      <c r="G254" s="241">
        <v>73.02</v>
      </c>
      <c r="H254" s="242">
        <f t="shared" si="19"/>
        <v>73.02</v>
      </c>
    </row>
    <row r="255" spans="1:8" ht="76.5">
      <c r="A255" s="226"/>
      <c r="B255" s="236" t="s">
        <v>727</v>
      </c>
      <c r="C255" s="237">
        <v>10904</v>
      </c>
      <c r="D255" s="238" t="s">
        <v>814</v>
      </c>
      <c r="E255" s="239" t="s">
        <v>733</v>
      </c>
      <c r="F255" s="240">
        <v>1</v>
      </c>
      <c r="G255" s="241">
        <v>213</v>
      </c>
      <c r="H255" s="242">
        <f t="shared" si="19"/>
        <v>213</v>
      </c>
    </row>
    <row r="256" spans="1:8" ht="89.25">
      <c r="A256" s="226"/>
      <c r="B256" s="236" t="s">
        <v>727</v>
      </c>
      <c r="C256" s="237">
        <v>20963</v>
      </c>
      <c r="D256" s="238" t="s">
        <v>815</v>
      </c>
      <c r="E256" s="239" t="s">
        <v>733</v>
      </c>
      <c r="F256" s="240">
        <v>1</v>
      </c>
      <c r="G256" s="241">
        <v>402.51</v>
      </c>
      <c r="H256" s="242">
        <f t="shared" si="19"/>
        <v>402.51</v>
      </c>
    </row>
    <row r="257" spans="1:8" ht="51">
      <c r="A257" s="226"/>
      <c r="B257" s="236" t="s">
        <v>727</v>
      </c>
      <c r="C257" s="237">
        <v>20971</v>
      </c>
      <c r="D257" s="238" t="s">
        <v>816</v>
      </c>
      <c r="E257" s="239" t="s">
        <v>733</v>
      </c>
      <c r="F257" s="240">
        <v>1</v>
      </c>
      <c r="G257" s="241">
        <v>20.28</v>
      </c>
      <c r="H257" s="242">
        <f t="shared" si="19"/>
        <v>20.28</v>
      </c>
    </row>
    <row r="258" spans="1:8" ht="63.75">
      <c r="A258" s="226"/>
      <c r="B258" s="236" t="s">
        <v>727</v>
      </c>
      <c r="C258" s="237">
        <v>21029</v>
      </c>
      <c r="D258" s="238" t="s">
        <v>817</v>
      </c>
      <c r="E258" s="239" t="s">
        <v>733</v>
      </c>
      <c r="F258" s="240">
        <v>2</v>
      </c>
      <c r="G258" s="241">
        <v>360</v>
      </c>
      <c r="H258" s="242">
        <f t="shared" si="19"/>
        <v>720</v>
      </c>
    </row>
    <row r="259" spans="1:8" ht="38.25">
      <c r="A259" s="226"/>
      <c r="B259" s="236" t="s">
        <v>727</v>
      </c>
      <c r="C259" s="237">
        <v>37554</v>
      </c>
      <c r="D259" s="238" t="s">
        <v>818</v>
      </c>
      <c r="E259" s="239" t="s">
        <v>733</v>
      </c>
      <c r="F259" s="240">
        <v>1</v>
      </c>
      <c r="G259" s="241">
        <v>250.14</v>
      </c>
      <c r="H259" s="242">
        <f t="shared" si="19"/>
        <v>250.14</v>
      </c>
    </row>
    <row r="260" spans="1:8" ht="12.75">
      <c r="A260" s="226"/>
      <c r="B260" s="243"/>
      <c r="C260" s="244"/>
      <c r="D260" s="245"/>
      <c r="E260" s="246"/>
      <c r="F260" s="247"/>
      <c r="G260" s="248"/>
      <c r="H260" s="249"/>
    </row>
    <row r="261" spans="1:8" ht="12.75">
      <c r="A261" s="226"/>
      <c r="B261" s="250" t="s">
        <v>709</v>
      </c>
      <c r="C261" s="251"/>
      <c r="D261" s="245"/>
      <c r="E261" s="252"/>
      <c r="F261" s="253"/>
      <c r="G261" s="254"/>
      <c r="H261" s="255"/>
    </row>
    <row r="262" spans="1:8" ht="12.75">
      <c r="A262" s="226"/>
      <c r="B262" s="272" t="s">
        <v>819</v>
      </c>
      <c r="C262" s="266" t="s">
        <v>820</v>
      </c>
      <c r="D262" s="258" t="s">
        <v>710</v>
      </c>
      <c r="E262" s="258"/>
      <c r="F262" s="258"/>
      <c r="G262" s="258"/>
      <c r="H262" s="259">
        <f>SUM(H248:H259)</f>
        <v>1876.7599999999998</v>
      </c>
    </row>
    <row r="263" ht="12.75">
      <c r="A263" s="226"/>
    </row>
    <row r="264" ht="12.75">
      <c r="A264" s="226"/>
    </row>
    <row r="265" spans="1:8" ht="90" customHeight="1">
      <c r="A265" s="226"/>
      <c r="B265" s="227" t="s">
        <v>426</v>
      </c>
      <c r="C265" s="228"/>
      <c r="D265" s="229" t="s">
        <v>821</v>
      </c>
      <c r="E265" s="229"/>
      <c r="F265" s="229"/>
      <c r="G265" s="229"/>
      <c r="H265" s="230" t="s">
        <v>86</v>
      </c>
    </row>
    <row r="266" spans="1:8" ht="12.75">
      <c r="A266" s="226"/>
      <c r="B266" s="231" t="s">
        <v>700</v>
      </c>
      <c r="C266" s="232" t="s">
        <v>701</v>
      </c>
      <c r="D266" s="232" t="s">
        <v>702</v>
      </c>
      <c r="E266" s="233" t="s">
        <v>703</v>
      </c>
      <c r="F266" s="234" t="s">
        <v>704</v>
      </c>
      <c r="G266" s="232" t="s">
        <v>705</v>
      </c>
      <c r="H266" s="235" t="s">
        <v>706</v>
      </c>
    </row>
    <row r="267" spans="1:8" ht="25.5">
      <c r="A267" s="226"/>
      <c r="B267" s="236" t="s">
        <v>125</v>
      </c>
      <c r="C267" s="237">
        <v>88264</v>
      </c>
      <c r="D267" s="238" t="s">
        <v>758</v>
      </c>
      <c r="E267" s="239" t="s">
        <v>713</v>
      </c>
      <c r="F267" s="240">
        <v>3</v>
      </c>
      <c r="G267" s="241">
        <v>22.61</v>
      </c>
      <c r="H267" s="242">
        <f aca="true" t="shared" si="20" ref="H267:H270">ROUND(F267*G267,2)</f>
        <v>67.83</v>
      </c>
    </row>
    <row r="268" spans="1:8" ht="25.5">
      <c r="A268" s="226"/>
      <c r="B268" s="236" t="s">
        <v>125</v>
      </c>
      <c r="C268" s="237">
        <v>88247</v>
      </c>
      <c r="D268" s="238" t="s">
        <v>759</v>
      </c>
      <c r="E268" s="239" t="s">
        <v>713</v>
      </c>
      <c r="F268" s="240">
        <v>3</v>
      </c>
      <c r="G268" s="241">
        <v>18.25</v>
      </c>
      <c r="H268" s="242">
        <f t="shared" si="20"/>
        <v>54.75</v>
      </c>
    </row>
    <row r="269" spans="1:8" ht="51">
      <c r="A269" s="226"/>
      <c r="B269" s="236" t="s">
        <v>727</v>
      </c>
      <c r="C269" s="237">
        <v>4350</v>
      </c>
      <c r="D269" s="238" t="s">
        <v>822</v>
      </c>
      <c r="E269" s="239" t="s">
        <v>733</v>
      </c>
      <c r="F269" s="240">
        <v>4</v>
      </c>
      <c r="G269" s="241">
        <v>0.99</v>
      </c>
      <c r="H269" s="242">
        <f t="shared" si="20"/>
        <v>3.96</v>
      </c>
    </row>
    <row r="270" spans="1:8" ht="38.25">
      <c r="A270" s="226"/>
      <c r="B270" s="236" t="s">
        <v>742</v>
      </c>
      <c r="D270" s="238" t="s">
        <v>823</v>
      </c>
      <c r="E270" s="239" t="s">
        <v>86</v>
      </c>
      <c r="F270" s="240">
        <v>1</v>
      </c>
      <c r="G270" s="241">
        <v>469.16333333333336</v>
      </c>
      <c r="H270" s="242">
        <f t="shared" si="20"/>
        <v>469.16</v>
      </c>
    </row>
    <row r="271" spans="1:8" ht="12.75">
      <c r="A271" s="226"/>
      <c r="B271" s="243"/>
      <c r="C271" s="244"/>
      <c r="D271" s="245"/>
      <c r="E271" s="246"/>
      <c r="F271" s="247"/>
      <c r="G271" s="248"/>
      <c r="H271" s="249"/>
    </row>
    <row r="272" spans="1:8" ht="12.75">
      <c r="A272" s="226"/>
      <c r="B272" s="250" t="s">
        <v>709</v>
      </c>
      <c r="C272" s="251"/>
      <c r="D272" s="245"/>
      <c r="E272" s="252"/>
      <c r="F272" s="253"/>
      <c r="G272" s="254"/>
      <c r="H272" s="255"/>
    </row>
    <row r="273" spans="1:8" ht="12.75">
      <c r="A273" s="226"/>
      <c r="B273" s="256"/>
      <c r="C273" s="257"/>
      <c r="D273" s="258" t="s">
        <v>710</v>
      </c>
      <c r="E273" s="258"/>
      <c r="F273" s="258"/>
      <c r="G273" s="258"/>
      <c r="H273" s="259">
        <f>SUM(H267:H270)</f>
        <v>595.7</v>
      </c>
    </row>
    <row r="274" ht="12.75">
      <c r="A274" s="226"/>
    </row>
    <row r="275" ht="12.75">
      <c r="A275" s="226"/>
    </row>
    <row r="276" spans="1:8" ht="45" customHeight="1">
      <c r="A276" s="226"/>
      <c r="B276" s="227" t="s">
        <v>461</v>
      </c>
      <c r="C276" s="228"/>
      <c r="D276" s="229" t="s">
        <v>824</v>
      </c>
      <c r="E276" s="229"/>
      <c r="F276" s="229"/>
      <c r="G276" s="229"/>
      <c r="H276" s="230" t="s">
        <v>86</v>
      </c>
    </row>
    <row r="277" spans="1:8" ht="12.75">
      <c r="A277" s="226"/>
      <c r="B277" s="231" t="s">
        <v>700</v>
      </c>
      <c r="C277" s="232" t="s">
        <v>701</v>
      </c>
      <c r="D277" s="232" t="s">
        <v>702</v>
      </c>
      <c r="E277" s="233" t="s">
        <v>703</v>
      </c>
      <c r="F277" s="234" t="s">
        <v>704</v>
      </c>
      <c r="G277" s="232" t="s">
        <v>705</v>
      </c>
      <c r="H277" s="235" t="s">
        <v>706</v>
      </c>
    </row>
    <row r="278" spans="1:8" ht="25.5">
      <c r="A278" s="226"/>
      <c r="B278" s="236" t="s">
        <v>125</v>
      </c>
      <c r="C278" s="237">
        <v>88316</v>
      </c>
      <c r="D278" s="238" t="s">
        <v>712</v>
      </c>
      <c r="E278" s="239" t="s">
        <v>713</v>
      </c>
      <c r="F278" s="240">
        <v>0.25</v>
      </c>
      <c r="G278" s="241">
        <v>16.21</v>
      </c>
      <c r="H278" s="242">
        <f aca="true" t="shared" si="21" ref="H278:H279">ROUND(F278*G278,2)</f>
        <v>4.05</v>
      </c>
    </row>
    <row r="279" spans="1:8" ht="63.75">
      <c r="A279" s="226"/>
      <c r="B279" s="236" t="s">
        <v>727</v>
      </c>
      <c r="C279" s="237">
        <v>21029</v>
      </c>
      <c r="D279" s="238" t="s">
        <v>817</v>
      </c>
      <c r="E279" s="239" t="s">
        <v>733</v>
      </c>
      <c r="F279" s="240">
        <v>1</v>
      </c>
      <c r="G279" s="241">
        <v>360</v>
      </c>
      <c r="H279" s="242">
        <f t="shared" si="21"/>
        <v>360</v>
      </c>
    </row>
    <row r="280" spans="1:8" ht="12.75">
      <c r="A280" s="226"/>
      <c r="B280" s="243"/>
      <c r="C280" s="244"/>
      <c r="D280" s="245"/>
      <c r="E280" s="246"/>
      <c r="F280" s="247"/>
      <c r="G280" s="248"/>
      <c r="H280" s="249"/>
    </row>
    <row r="281" spans="1:8" ht="12.75">
      <c r="A281" s="226"/>
      <c r="B281" s="250" t="s">
        <v>709</v>
      </c>
      <c r="C281" s="251"/>
      <c r="D281" s="245"/>
      <c r="E281" s="252"/>
      <c r="F281" s="253"/>
      <c r="G281" s="254"/>
      <c r="H281" s="255"/>
    </row>
    <row r="282" spans="1:8" ht="12.75">
      <c r="A282" s="226"/>
      <c r="B282" s="256"/>
      <c r="C282" s="257"/>
      <c r="D282" s="258" t="s">
        <v>710</v>
      </c>
      <c r="E282" s="258"/>
      <c r="F282" s="258"/>
      <c r="G282" s="258"/>
      <c r="H282" s="259">
        <f>SUM(H278:H279)</f>
        <v>364.05</v>
      </c>
    </row>
    <row r="283" ht="12.75">
      <c r="A283" s="226"/>
    </row>
    <row r="284" ht="12.75">
      <c r="A284" s="226"/>
    </row>
    <row r="285" spans="1:8" ht="30" customHeight="1">
      <c r="A285" s="226"/>
      <c r="B285" s="227" t="s">
        <v>463</v>
      </c>
      <c r="C285" s="228"/>
      <c r="D285" s="229" t="s">
        <v>825</v>
      </c>
      <c r="E285" s="229"/>
      <c r="F285" s="229"/>
      <c r="G285" s="229"/>
      <c r="H285" s="230" t="s">
        <v>86</v>
      </c>
    </row>
    <row r="286" spans="1:8" ht="12.75">
      <c r="A286" s="226"/>
      <c r="B286" s="231" t="s">
        <v>700</v>
      </c>
      <c r="C286" s="232" t="s">
        <v>701</v>
      </c>
      <c r="D286" s="232" t="s">
        <v>702</v>
      </c>
      <c r="E286" s="233" t="s">
        <v>703</v>
      </c>
      <c r="F286" s="234" t="s">
        <v>704</v>
      </c>
      <c r="G286" s="232" t="s">
        <v>705</v>
      </c>
      <c r="H286" s="235" t="s">
        <v>706</v>
      </c>
    </row>
    <row r="287" spans="1:8" ht="25.5">
      <c r="A287" s="226"/>
      <c r="B287" s="236" t="s">
        <v>125</v>
      </c>
      <c r="C287" s="237">
        <v>88264</v>
      </c>
      <c r="D287" s="238" t="s">
        <v>758</v>
      </c>
      <c r="E287" s="239" t="s">
        <v>713</v>
      </c>
      <c r="F287" s="240">
        <v>0.5</v>
      </c>
      <c r="G287" s="241">
        <v>22.61</v>
      </c>
      <c r="H287" s="242">
        <f aca="true" t="shared" si="22" ref="H287:H290">ROUND(F287*G287,2)</f>
        <v>11.31</v>
      </c>
    </row>
    <row r="288" spans="1:8" ht="25.5">
      <c r="A288" s="226"/>
      <c r="B288" s="236" t="s">
        <v>125</v>
      </c>
      <c r="C288" s="237">
        <v>88247</v>
      </c>
      <c r="D288" s="238" t="s">
        <v>759</v>
      </c>
      <c r="E288" s="239" t="s">
        <v>713</v>
      </c>
      <c r="F288" s="240">
        <v>0.5</v>
      </c>
      <c r="G288" s="241">
        <v>18.25</v>
      </c>
      <c r="H288" s="242">
        <f t="shared" si="22"/>
        <v>9.13</v>
      </c>
    </row>
    <row r="289" spans="1:8" ht="51">
      <c r="A289" s="226"/>
      <c r="B289" s="236" t="s">
        <v>727</v>
      </c>
      <c r="C289" s="237">
        <v>4350</v>
      </c>
      <c r="D289" s="238" t="s">
        <v>822</v>
      </c>
      <c r="E289" s="239" t="s">
        <v>733</v>
      </c>
      <c r="F289" s="240">
        <v>2</v>
      </c>
      <c r="G289" s="241">
        <v>0.99</v>
      </c>
      <c r="H289" s="242">
        <f t="shared" si="22"/>
        <v>1.98</v>
      </c>
    </row>
    <row r="290" spans="1:8" ht="25.5">
      <c r="A290" s="226"/>
      <c r="B290" s="236" t="s">
        <v>742</v>
      </c>
      <c r="D290" s="238" t="s">
        <v>826</v>
      </c>
      <c r="E290" s="239" t="s">
        <v>86</v>
      </c>
      <c r="F290" s="240">
        <v>1</v>
      </c>
      <c r="G290" s="241">
        <v>66.33571428571427</v>
      </c>
      <c r="H290" s="242">
        <f t="shared" si="22"/>
        <v>66.34</v>
      </c>
    </row>
    <row r="291" spans="1:8" ht="12.75">
      <c r="A291" s="226"/>
      <c r="B291" s="243"/>
      <c r="C291" s="244"/>
      <c r="D291" s="245"/>
      <c r="E291" s="246"/>
      <c r="F291" s="247"/>
      <c r="G291" s="248"/>
      <c r="H291" s="249"/>
    </row>
    <row r="292" spans="1:8" ht="12.75">
      <c r="A292" s="226"/>
      <c r="B292" s="250" t="s">
        <v>709</v>
      </c>
      <c r="C292" s="251"/>
      <c r="D292" s="245"/>
      <c r="E292" s="252"/>
      <c r="F292" s="253"/>
      <c r="G292" s="254"/>
      <c r="H292" s="255"/>
    </row>
    <row r="293" spans="1:8" ht="12.75">
      <c r="A293" s="226"/>
      <c r="B293" s="256"/>
      <c r="C293" s="257"/>
      <c r="D293" s="258" t="s">
        <v>710</v>
      </c>
      <c r="E293" s="258"/>
      <c r="F293" s="258"/>
      <c r="G293" s="258"/>
      <c r="H293" s="259">
        <f>SUM(H287:H290)</f>
        <v>88.76</v>
      </c>
    </row>
    <row r="294" ht="12.75">
      <c r="A294" s="226"/>
    </row>
    <row r="295" ht="12.75">
      <c r="A295" s="226"/>
    </row>
    <row r="296" spans="1:8" ht="45" customHeight="1">
      <c r="A296" s="226"/>
      <c r="B296" s="227" t="s">
        <v>465</v>
      </c>
      <c r="C296" s="228"/>
      <c r="D296" s="229" t="s">
        <v>827</v>
      </c>
      <c r="E296" s="229"/>
      <c r="F296" s="229"/>
      <c r="G296" s="229"/>
      <c r="H296" s="230" t="s">
        <v>86</v>
      </c>
    </row>
    <row r="297" spans="1:8" ht="12.75">
      <c r="A297" s="226"/>
      <c r="B297" s="231" t="s">
        <v>700</v>
      </c>
      <c r="C297" s="232" t="s">
        <v>701</v>
      </c>
      <c r="D297" s="232" t="s">
        <v>702</v>
      </c>
      <c r="E297" s="233" t="s">
        <v>703</v>
      </c>
      <c r="F297" s="234" t="s">
        <v>704</v>
      </c>
      <c r="G297" s="232" t="s">
        <v>705</v>
      </c>
      <c r="H297" s="235" t="s">
        <v>706</v>
      </c>
    </row>
    <row r="298" spans="1:8" ht="25.5">
      <c r="A298" s="226"/>
      <c r="B298" s="236" t="s">
        <v>125</v>
      </c>
      <c r="C298" s="237">
        <v>88309</v>
      </c>
      <c r="D298" s="238" t="s">
        <v>752</v>
      </c>
      <c r="E298" s="239" t="s">
        <v>713</v>
      </c>
      <c r="F298" s="240">
        <v>0.5</v>
      </c>
      <c r="G298" s="241">
        <v>22.37</v>
      </c>
      <c r="H298" s="242">
        <f aca="true" t="shared" si="23" ref="H298:H300">ROUND(F298*G298,2)</f>
        <v>11.19</v>
      </c>
    </row>
    <row r="299" spans="1:8" ht="51">
      <c r="A299" s="226"/>
      <c r="B299" s="236" t="s">
        <v>727</v>
      </c>
      <c r="C299" s="237">
        <v>4350</v>
      </c>
      <c r="D299" s="238" t="s">
        <v>822</v>
      </c>
      <c r="E299" s="239" t="s">
        <v>733</v>
      </c>
      <c r="F299" s="240">
        <v>4</v>
      </c>
      <c r="G299" s="241">
        <v>0.99</v>
      </c>
      <c r="H299" s="242">
        <f t="shared" si="23"/>
        <v>3.96</v>
      </c>
    </row>
    <row r="300" spans="1:8" ht="25.5">
      <c r="A300" s="226"/>
      <c r="B300" s="236" t="s">
        <v>742</v>
      </c>
      <c r="D300" s="238" t="s">
        <v>828</v>
      </c>
      <c r="E300" s="239" t="s">
        <v>86</v>
      </c>
      <c r="F300" s="240">
        <v>1</v>
      </c>
      <c r="G300" s="241">
        <v>237.96666666666667</v>
      </c>
      <c r="H300" s="242">
        <f t="shared" si="23"/>
        <v>237.97</v>
      </c>
    </row>
    <row r="301" spans="1:8" ht="12.75">
      <c r="A301" s="226"/>
      <c r="B301" s="243"/>
      <c r="C301" s="244"/>
      <c r="D301" s="245"/>
      <c r="E301" s="246"/>
      <c r="F301" s="247"/>
      <c r="G301" s="248"/>
      <c r="H301" s="249"/>
    </row>
    <row r="302" spans="1:8" ht="12.75">
      <c r="A302" s="226"/>
      <c r="B302" s="250" t="s">
        <v>709</v>
      </c>
      <c r="C302" s="251"/>
      <c r="D302" s="245"/>
      <c r="E302" s="252"/>
      <c r="F302" s="253"/>
      <c r="G302" s="254"/>
      <c r="H302" s="255"/>
    </row>
    <row r="303" spans="1:8" ht="12.75">
      <c r="A303" s="226"/>
      <c r="B303" s="256"/>
      <c r="C303" s="257"/>
      <c r="D303" s="258" t="s">
        <v>710</v>
      </c>
      <c r="E303" s="258"/>
      <c r="F303" s="258"/>
      <c r="G303" s="258"/>
      <c r="H303" s="259">
        <f>SUM(H298:H300)</f>
        <v>253.12</v>
      </c>
    </row>
    <row r="304" ht="12.75">
      <c r="A304" s="226"/>
    </row>
    <row r="305" ht="12.75">
      <c r="A305" s="226"/>
    </row>
    <row r="306" spans="1:8" ht="30" customHeight="1">
      <c r="A306" s="226"/>
      <c r="B306" s="227" t="s">
        <v>472</v>
      </c>
      <c r="C306" s="228"/>
      <c r="D306" s="229" t="s">
        <v>829</v>
      </c>
      <c r="E306" s="229"/>
      <c r="F306" s="229"/>
      <c r="G306" s="229"/>
      <c r="H306" s="230" t="s">
        <v>86</v>
      </c>
    </row>
    <row r="307" spans="1:8" ht="12.75">
      <c r="A307" s="226"/>
      <c r="B307" s="231" t="s">
        <v>700</v>
      </c>
      <c r="C307" s="232" t="s">
        <v>701</v>
      </c>
      <c r="D307" s="232" t="s">
        <v>702</v>
      </c>
      <c r="E307" s="233" t="s">
        <v>703</v>
      </c>
      <c r="F307" s="234" t="s">
        <v>704</v>
      </c>
      <c r="G307" s="232" t="s">
        <v>705</v>
      </c>
      <c r="H307" s="235" t="s">
        <v>706</v>
      </c>
    </row>
    <row r="308" spans="1:8" ht="25.5">
      <c r="A308" s="226"/>
      <c r="B308" s="236" t="s">
        <v>125</v>
      </c>
      <c r="C308" s="237">
        <v>88247</v>
      </c>
      <c r="D308" s="238" t="s">
        <v>759</v>
      </c>
      <c r="E308" s="239" t="s">
        <v>713</v>
      </c>
      <c r="F308" s="240">
        <v>0.0748</v>
      </c>
      <c r="G308" s="241">
        <v>18.25</v>
      </c>
      <c r="H308" s="242">
        <f aca="true" t="shared" si="24" ref="H308:H310">ROUND(F308*G308,2)</f>
        <v>1.37</v>
      </c>
    </row>
    <row r="309" spans="1:8" ht="25.5">
      <c r="A309" s="226"/>
      <c r="B309" s="236" t="s">
        <v>125</v>
      </c>
      <c r="C309" s="237">
        <v>88264</v>
      </c>
      <c r="D309" s="238" t="s">
        <v>758</v>
      </c>
      <c r="E309" s="239" t="s">
        <v>713</v>
      </c>
      <c r="F309" s="240">
        <v>0.1795</v>
      </c>
      <c r="G309" s="241">
        <v>22.61</v>
      </c>
      <c r="H309" s="242">
        <f t="shared" si="24"/>
        <v>4.06</v>
      </c>
    </row>
    <row r="310" spans="1:8" ht="25.5">
      <c r="A310" s="226"/>
      <c r="B310" s="236" t="s">
        <v>742</v>
      </c>
      <c r="D310" s="274" t="s">
        <v>830</v>
      </c>
      <c r="E310" s="239" t="s">
        <v>86</v>
      </c>
      <c r="F310" s="240">
        <v>1</v>
      </c>
      <c r="G310" s="241">
        <v>144.37</v>
      </c>
      <c r="H310" s="242">
        <f t="shared" si="24"/>
        <v>144.37</v>
      </c>
    </row>
    <row r="311" spans="1:8" ht="12.75">
      <c r="A311" s="226"/>
      <c r="B311" s="243"/>
      <c r="C311" s="244"/>
      <c r="D311" s="245"/>
      <c r="E311" s="246"/>
      <c r="F311" s="247"/>
      <c r="G311" s="248"/>
      <c r="H311" s="249"/>
    </row>
    <row r="312" spans="1:8" ht="12.75">
      <c r="A312" s="226"/>
      <c r="B312" s="250" t="s">
        <v>709</v>
      </c>
      <c r="C312" s="251"/>
      <c r="D312" s="245"/>
      <c r="E312" s="252"/>
      <c r="F312" s="253"/>
      <c r="G312" s="254"/>
      <c r="H312" s="255"/>
    </row>
    <row r="313" spans="1:8" ht="12.75">
      <c r="A313" s="226"/>
      <c r="B313" s="272" t="s">
        <v>819</v>
      </c>
      <c r="C313" s="266" t="s">
        <v>831</v>
      </c>
      <c r="D313" s="258" t="s">
        <v>710</v>
      </c>
      <c r="E313" s="258"/>
      <c r="F313" s="258"/>
      <c r="G313" s="258"/>
      <c r="H313" s="259">
        <f>SUM(H308:H310)</f>
        <v>149.8</v>
      </c>
    </row>
    <row r="314" ht="12.75">
      <c r="A314" s="226"/>
    </row>
    <row r="315" ht="12.75">
      <c r="A315" s="226"/>
    </row>
    <row r="316" spans="1:8" ht="45" customHeight="1">
      <c r="A316" s="226"/>
      <c r="B316" s="227" t="s">
        <v>612</v>
      </c>
      <c r="C316" s="228"/>
      <c r="D316" s="229" t="s">
        <v>832</v>
      </c>
      <c r="E316" s="229"/>
      <c r="F316" s="229"/>
      <c r="G316" s="229"/>
      <c r="H316" s="230" t="s">
        <v>82</v>
      </c>
    </row>
    <row r="317" spans="1:8" ht="12.75">
      <c r="A317" s="226"/>
      <c r="B317" s="231" t="s">
        <v>700</v>
      </c>
      <c r="C317" s="232" t="s">
        <v>701</v>
      </c>
      <c r="D317" s="232" t="s">
        <v>702</v>
      </c>
      <c r="E317" s="233" t="s">
        <v>703</v>
      </c>
      <c r="F317" s="234" t="s">
        <v>704</v>
      </c>
      <c r="G317" s="232" t="s">
        <v>705</v>
      </c>
      <c r="H317" s="235" t="s">
        <v>706</v>
      </c>
    </row>
    <row r="318" spans="1:8" ht="25.5">
      <c r="A318" s="226"/>
      <c r="B318" s="236" t="s">
        <v>125</v>
      </c>
      <c r="C318" s="237">
        <v>88251</v>
      </c>
      <c r="D318" s="238" t="s">
        <v>833</v>
      </c>
      <c r="E318" s="239" t="s">
        <v>713</v>
      </c>
      <c r="F318" s="240">
        <v>0.1407</v>
      </c>
      <c r="G318" s="241">
        <v>17.96</v>
      </c>
      <c r="H318" s="242">
        <f aca="true" t="shared" si="25" ref="H318:H320">ROUND(F318*G318,2)</f>
        <v>2.53</v>
      </c>
    </row>
    <row r="319" spans="1:8" ht="25.5">
      <c r="A319" s="226"/>
      <c r="B319" s="236" t="s">
        <v>125</v>
      </c>
      <c r="C319" s="237">
        <v>88315</v>
      </c>
      <c r="D319" s="238" t="s">
        <v>834</v>
      </c>
      <c r="E319" s="239" t="s">
        <v>713</v>
      </c>
      <c r="F319" s="240">
        <v>0.1407</v>
      </c>
      <c r="G319" s="241">
        <v>22.24</v>
      </c>
      <c r="H319" s="242">
        <f t="shared" si="25"/>
        <v>3.13</v>
      </c>
    </row>
    <row r="320" spans="1:11" ht="25.5">
      <c r="A320" s="226"/>
      <c r="B320" s="236" t="s">
        <v>727</v>
      </c>
      <c r="C320" s="237">
        <v>7311</v>
      </c>
      <c r="D320" s="238" t="s">
        <v>835</v>
      </c>
      <c r="E320" s="239" t="s">
        <v>735</v>
      </c>
      <c r="F320" s="240">
        <v>0.144</v>
      </c>
      <c r="G320" s="241">
        <v>38.99</v>
      </c>
      <c r="H320" s="242">
        <f t="shared" si="25"/>
        <v>5.61</v>
      </c>
      <c r="K320" s="276"/>
    </row>
    <row r="321" spans="1:8" ht="12.75">
      <c r="A321" s="226"/>
      <c r="B321" s="243"/>
      <c r="C321" s="244"/>
      <c r="D321" s="245"/>
      <c r="E321" s="246"/>
      <c r="F321" s="247"/>
      <c r="G321" s="248"/>
      <c r="H321" s="249"/>
    </row>
    <row r="322" spans="1:8" ht="12.75">
      <c r="A322" s="226"/>
      <c r="B322" s="250" t="s">
        <v>709</v>
      </c>
      <c r="C322" s="251"/>
      <c r="D322" s="245"/>
      <c r="E322" s="252"/>
      <c r="F322" s="253"/>
      <c r="G322" s="254"/>
      <c r="H322" s="255"/>
    </row>
    <row r="323" spans="1:8" ht="12.75">
      <c r="A323" s="226"/>
      <c r="B323" s="272" t="s">
        <v>836</v>
      </c>
      <c r="C323" s="257" t="s">
        <v>837</v>
      </c>
      <c r="D323" s="258" t="s">
        <v>710</v>
      </c>
      <c r="E323" s="258"/>
      <c r="F323" s="258"/>
      <c r="G323" s="258"/>
      <c r="H323" s="259">
        <f>SUM(H318:H320)</f>
        <v>11.27</v>
      </c>
    </row>
    <row r="324" ht="12.75">
      <c r="A324" s="226"/>
    </row>
    <row r="325" ht="12.75">
      <c r="A325" s="226"/>
    </row>
    <row r="326" spans="1:8" ht="45" customHeight="1">
      <c r="A326" s="226"/>
      <c r="B326" s="227" t="s">
        <v>619</v>
      </c>
      <c r="C326" s="228"/>
      <c r="D326" s="229" t="s">
        <v>838</v>
      </c>
      <c r="E326" s="229"/>
      <c r="F326" s="229"/>
      <c r="G326" s="229"/>
      <c r="H326" s="230" t="s">
        <v>142</v>
      </c>
    </row>
    <row r="327" spans="1:8" ht="12.75">
      <c r="A327" s="226"/>
      <c r="B327" s="231" t="s">
        <v>700</v>
      </c>
      <c r="C327" s="232" t="s">
        <v>701</v>
      </c>
      <c r="D327" s="232" t="s">
        <v>702</v>
      </c>
      <c r="E327" s="233" t="s">
        <v>703</v>
      </c>
      <c r="F327" s="234" t="s">
        <v>704</v>
      </c>
      <c r="G327" s="232" t="s">
        <v>705</v>
      </c>
      <c r="H327" s="235" t="s">
        <v>706</v>
      </c>
    </row>
    <row r="328" spans="1:8" ht="25.5">
      <c r="A328" s="226"/>
      <c r="B328" s="236" t="s">
        <v>125</v>
      </c>
      <c r="C328" s="237">
        <v>88309</v>
      </c>
      <c r="D328" s="238" t="s">
        <v>752</v>
      </c>
      <c r="E328" s="239" t="s">
        <v>713</v>
      </c>
      <c r="F328" s="240">
        <v>1.5985714285714283</v>
      </c>
      <c r="G328" s="241">
        <v>22.37</v>
      </c>
      <c r="H328" s="242">
        <f aca="true" t="shared" si="26" ref="H328:H330">ROUND(F328*G328,2)</f>
        <v>35.76</v>
      </c>
    </row>
    <row r="329" spans="1:8" ht="25.5">
      <c r="A329" s="226"/>
      <c r="B329" s="236" t="s">
        <v>125</v>
      </c>
      <c r="C329" s="237">
        <v>88316</v>
      </c>
      <c r="D329" s="238" t="s">
        <v>712</v>
      </c>
      <c r="E329" s="239" t="s">
        <v>713</v>
      </c>
      <c r="F329" s="240">
        <v>0.6657142857142857</v>
      </c>
      <c r="G329" s="241">
        <v>16.21</v>
      </c>
      <c r="H329" s="242">
        <f t="shared" si="26"/>
        <v>10.79</v>
      </c>
    </row>
    <row r="330" spans="1:8" ht="51">
      <c r="A330" s="226"/>
      <c r="B330" s="236" t="s">
        <v>125</v>
      </c>
      <c r="C330" s="237">
        <v>94964</v>
      </c>
      <c r="D330" s="238" t="s">
        <v>839</v>
      </c>
      <c r="E330" s="239" t="s">
        <v>142</v>
      </c>
      <c r="F330" s="240">
        <v>1.05</v>
      </c>
      <c r="G330" s="241">
        <v>468.97</v>
      </c>
      <c r="H330" s="242">
        <f t="shared" si="26"/>
        <v>492.42</v>
      </c>
    </row>
    <row r="331" spans="1:8" ht="12.75">
      <c r="A331" s="226"/>
      <c r="B331" s="243"/>
      <c r="C331" s="244"/>
      <c r="D331" s="245"/>
      <c r="E331" s="246"/>
      <c r="F331" s="247"/>
      <c r="G331" s="248"/>
      <c r="H331" s="249"/>
    </row>
    <row r="332" spans="1:8" ht="12.75">
      <c r="A332" s="226"/>
      <c r="B332" s="250" t="s">
        <v>709</v>
      </c>
      <c r="C332" s="251"/>
      <c r="D332" s="245"/>
      <c r="E332" s="252"/>
      <c r="F332" s="253"/>
      <c r="G332" s="254"/>
      <c r="H332" s="255"/>
    </row>
    <row r="333" spans="1:8" s="279" customFormat="1" ht="25.5">
      <c r="A333" s="277"/>
      <c r="B333" s="272" t="s">
        <v>836</v>
      </c>
      <c r="C333" s="278" t="s">
        <v>840</v>
      </c>
      <c r="D333" s="267" t="s">
        <v>710</v>
      </c>
      <c r="E333" s="267"/>
      <c r="F333" s="267"/>
      <c r="G333" s="267"/>
      <c r="H333" s="268">
        <f>SUM(H328:H330)</f>
        <v>538.97</v>
      </c>
    </row>
    <row r="334" ht="12.75">
      <c r="A334" s="226"/>
    </row>
    <row r="335" ht="12.75">
      <c r="A335" s="226"/>
    </row>
    <row r="336" spans="1:8" ht="60" customHeight="1">
      <c r="A336" s="226"/>
      <c r="B336" s="227" t="s">
        <v>631</v>
      </c>
      <c r="C336" s="228"/>
      <c r="D336" s="229" t="s">
        <v>841</v>
      </c>
      <c r="E336" s="229"/>
      <c r="F336" s="229"/>
      <c r="G336" s="229"/>
      <c r="H336" s="230" t="s">
        <v>86</v>
      </c>
    </row>
    <row r="337" spans="1:8" ht="12.75">
      <c r="A337" s="226"/>
      <c r="B337" s="231" t="s">
        <v>700</v>
      </c>
      <c r="C337" s="232" t="s">
        <v>701</v>
      </c>
      <c r="D337" s="232" t="s">
        <v>702</v>
      </c>
      <c r="E337" s="233" t="s">
        <v>703</v>
      </c>
      <c r="F337" s="234" t="s">
        <v>704</v>
      </c>
      <c r="G337" s="232" t="s">
        <v>705</v>
      </c>
      <c r="H337" s="235" t="s">
        <v>706</v>
      </c>
    </row>
    <row r="338" spans="1:8" ht="25.5">
      <c r="A338" s="226"/>
      <c r="B338" s="236" t="s">
        <v>125</v>
      </c>
      <c r="C338" s="237">
        <v>90777</v>
      </c>
      <c r="D338" s="238" t="s">
        <v>842</v>
      </c>
      <c r="E338" s="239" t="s">
        <v>713</v>
      </c>
      <c r="F338" s="240">
        <v>8</v>
      </c>
      <c r="G338" s="241">
        <v>89.59</v>
      </c>
      <c r="H338" s="242">
        <f aca="true" t="shared" si="27" ref="H338:H341">ROUND(F338*G338,2)</f>
        <v>716.72</v>
      </c>
    </row>
    <row r="339" spans="1:8" ht="25.5">
      <c r="A339" s="226"/>
      <c r="B339" s="236" t="s">
        <v>125</v>
      </c>
      <c r="C339" s="237">
        <v>88264</v>
      </c>
      <c r="D339" s="238" t="s">
        <v>758</v>
      </c>
      <c r="E339" s="239" t="s">
        <v>713</v>
      </c>
      <c r="F339" s="240">
        <v>8</v>
      </c>
      <c r="G339" s="241">
        <v>22.61</v>
      </c>
      <c r="H339" s="242">
        <f t="shared" si="27"/>
        <v>180.88</v>
      </c>
    </row>
    <row r="340" spans="1:8" ht="25.5">
      <c r="A340" s="226"/>
      <c r="B340" s="236" t="s">
        <v>125</v>
      </c>
      <c r="C340" s="237">
        <v>88267</v>
      </c>
      <c r="D340" s="238" t="s">
        <v>745</v>
      </c>
      <c r="E340" s="239" t="s">
        <v>713</v>
      </c>
      <c r="F340" s="240">
        <v>8</v>
      </c>
      <c r="G340" s="241">
        <v>21.76</v>
      </c>
      <c r="H340" s="242">
        <f t="shared" si="27"/>
        <v>174.08</v>
      </c>
    </row>
    <row r="341" spans="1:8" ht="25.5">
      <c r="A341" s="226"/>
      <c r="B341" s="236" t="s">
        <v>125</v>
      </c>
      <c r="C341" s="237">
        <v>88316</v>
      </c>
      <c r="D341" s="238" t="s">
        <v>712</v>
      </c>
      <c r="E341" s="239" t="s">
        <v>713</v>
      </c>
      <c r="F341" s="240">
        <v>16</v>
      </c>
      <c r="G341" s="241">
        <v>16.21</v>
      </c>
      <c r="H341" s="242">
        <f t="shared" si="27"/>
        <v>259.36</v>
      </c>
    </row>
    <row r="342" spans="1:8" ht="12.75">
      <c r="A342" s="226"/>
      <c r="B342" s="243"/>
      <c r="C342" s="244"/>
      <c r="D342" s="245"/>
      <c r="E342" s="246"/>
      <c r="F342" s="247"/>
      <c r="G342" s="248"/>
      <c r="H342" s="249"/>
    </row>
    <row r="343" spans="1:8" ht="12.75">
      <c r="A343" s="226"/>
      <c r="B343" s="250" t="s">
        <v>709</v>
      </c>
      <c r="C343" s="251"/>
      <c r="D343" s="245"/>
      <c r="E343" s="252"/>
      <c r="F343" s="253"/>
      <c r="G343" s="254"/>
      <c r="H343" s="255"/>
    </row>
    <row r="344" spans="1:8" ht="12.75">
      <c r="A344" s="226"/>
      <c r="B344" s="256"/>
      <c r="C344" s="257"/>
      <c r="D344" s="258" t="s">
        <v>710</v>
      </c>
      <c r="E344" s="258"/>
      <c r="F344" s="258"/>
      <c r="G344" s="258"/>
      <c r="H344" s="259">
        <f>SUM(H338:H341)</f>
        <v>1331.04</v>
      </c>
    </row>
    <row r="345" ht="12.75">
      <c r="A345" s="226"/>
    </row>
    <row r="346" ht="12.75">
      <c r="A346" s="226"/>
    </row>
    <row r="347" spans="1:8" ht="30" customHeight="1">
      <c r="A347" s="226"/>
      <c r="B347" s="227" t="s">
        <v>478</v>
      </c>
      <c r="C347" s="228"/>
      <c r="D347" s="229" t="s">
        <v>843</v>
      </c>
      <c r="E347" s="229"/>
      <c r="F347" s="229"/>
      <c r="G347" s="229"/>
      <c r="H347" s="230" t="s">
        <v>86</v>
      </c>
    </row>
    <row r="348" spans="1:8" ht="12.75">
      <c r="A348" s="226"/>
      <c r="B348" s="231" t="s">
        <v>700</v>
      </c>
      <c r="C348" s="232" t="s">
        <v>701</v>
      </c>
      <c r="D348" s="232" t="s">
        <v>702</v>
      </c>
      <c r="E348" s="233" t="s">
        <v>703</v>
      </c>
      <c r="F348" s="234" t="s">
        <v>704</v>
      </c>
      <c r="G348" s="232" t="s">
        <v>705</v>
      </c>
      <c r="H348" s="235" t="s">
        <v>706</v>
      </c>
    </row>
    <row r="349" spans="1:8" ht="25.5">
      <c r="A349" s="226"/>
      <c r="B349" s="236" t="s">
        <v>125</v>
      </c>
      <c r="C349" s="237">
        <v>88243</v>
      </c>
      <c r="D349" s="238" t="s">
        <v>844</v>
      </c>
      <c r="E349" s="239" t="s">
        <v>713</v>
      </c>
      <c r="F349" s="240">
        <v>6.1</v>
      </c>
      <c r="G349" s="241">
        <v>17.84</v>
      </c>
      <c r="H349" s="242">
        <f aca="true" t="shared" si="28" ref="H349:H351">ROUND(F349*G349,2)</f>
        <v>108.82</v>
      </c>
    </row>
    <row r="350" spans="1:8" ht="25.5">
      <c r="A350" s="226"/>
      <c r="B350" s="236" t="s">
        <v>125</v>
      </c>
      <c r="C350" s="237">
        <v>88279</v>
      </c>
      <c r="D350" s="238" t="s">
        <v>845</v>
      </c>
      <c r="E350" s="239" t="s">
        <v>713</v>
      </c>
      <c r="F350" s="240">
        <v>6.1</v>
      </c>
      <c r="G350" s="241">
        <v>25.27</v>
      </c>
      <c r="H350" s="242">
        <f t="shared" si="28"/>
        <v>154.15</v>
      </c>
    </row>
    <row r="351" spans="1:8" ht="25.5">
      <c r="A351" s="226"/>
      <c r="B351" s="236" t="s">
        <v>742</v>
      </c>
      <c r="D351" s="238" t="s">
        <v>846</v>
      </c>
      <c r="E351" s="239" t="s">
        <v>86</v>
      </c>
      <c r="F351" s="240">
        <v>1</v>
      </c>
      <c r="G351" s="241">
        <v>3510.396666666667</v>
      </c>
      <c r="H351" s="242">
        <f t="shared" si="28"/>
        <v>3510.4</v>
      </c>
    </row>
    <row r="352" spans="1:8" ht="12.75">
      <c r="A352" s="226"/>
      <c r="B352" s="243"/>
      <c r="C352" s="244"/>
      <c r="D352" s="245"/>
      <c r="E352" s="246"/>
      <c r="F352" s="247"/>
      <c r="G352" s="248"/>
      <c r="H352" s="249"/>
    </row>
    <row r="353" spans="1:8" ht="12.75">
      <c r="A353" s="226"/>
      <c r="B353" s="250" t="s">
        <v>709</v>
      </c>
      <c r="C353" s="251"/>
      <c r="D353" s="245"/>
      <c r="E353" s="252"/>
      <c r="F353" s="253"/>
      <c r="G353" s="254"/>
      <c r="H353" s="255"/>
    </row>
    <row r="354" spans="1:8" ht="12.75">
      <c r="A354" s="226"/>
      <c r="B354" s="256"/>
      <c r="C354" s="257"/>
      <c r="D354" s="258" t="s">
        <v>710</v>
      </c>
      <c r="E354" s="258"/>
      <c r="F354" s="258"/>
      <c r="G354" s="258"/>
      <c r="H354" s="259">
        <f>SUM(H349:H351)</f>
        <v>3773.3700000000003</v>
      </c>
    </row>
    <row r="355" ht="12.75">
      <c r="A355" s="226"/>
    </row>
    <row r="356" ht="12.75">
      <c r="A356" s="226"/>
    </row>
    <row r="357" spans="1:8" ht="30" customHeight="1">
      <c r="A357" s="226"/>
      <c r="B357" s="227" t="s">
        <v>484</v>
      </c>
      <c r="C357" s="228"/>
      <c r="D357" s="229" t="s">
        <v>847</v>
      </c>
      <c r="E357" s="229"/>
      <c r="F357" s="229"/>
      <c r="G357" s="229"/>
      <c r="H357" s="230" t="s">
        <v>86</v>
      </c>
    </row>
    <row r="358" spans="1:8" ht="12.75">
      <c r="A358" s="226"/>
      <c r="B358" s="231" t="s">
        <v>700</v>
      </c>
      <c r="C358" s="232" t="s">
        <v>701</v>
      </c>
      <c r="D358" s="232" t="s">
        <v>702</v>
      </c>
      <c r="E358" s="233" t="s">
        <v>703</v>
      </c>
      <c r="F358" s="234" t="s">
        <v>704</v>
      </c>
      <c r="G358" s="232" t="s">
        <v>705</v>
      </c>
      <c r="H358" s="235" t="s">
        <v>706</v>
      </c>
    </row>
    <row r="359" spans="1:8" ht="25.5">
      <c r="A359" s="226"/>
      <c r="B359" s="236" t="s">
        <v>125</v>
      </c>
      <c r="C359" s="237">
        <v>88264</v>
      </c>
      <c r="D359" s="238" t="s">
        <v>758</v>
      </c>
      <c r="E359" s="239" t="s">
        <v>713</v>
      </c>
      <c r="F359" s="240">
        <v>4</v>
      </c>
      <c r="G359" s="241">
        <v>22.61</v>
      </c>
      <c r="H359" s="242">
        <f aca="true" t="shared" si="29" ref="H359:H361">ROUND(F359*G359,2)</f>
        <v>90.44</v>
      </c>
    </row>
    <row r="360" spans="1:8" ht="25.5">
      <c r="A360" s="226"/>
      <c r="B360" s="236" t="s">
        <v>125</v>
      </c>
      <c r="C360" s="237">
        <v>88247</v>
      </c>
      <c r="D360" s="238" t="s">
        <v>759</v>
      </c>
      <c r="E360" s="239" t="s">
        <v>713</v>
      </c>
      <c r="F360" s="240">
        <v>4</v>
      </c>
      <c r="G360" s="241">
        <v>18.25</v>
      </c>
      <c r="H360" s="242">
        <f t="shared" si="29"/>
        <v>73</v>
      </c>
    </row>
    <row r="361" spans="1:8" ht="25.5">
      <c r="A361" s="226"/>
      <c r="B361" s="236" t="s">
        <v>742</v>
      </c>
      <c r="D361" s="238" t="s">
        <v>848</v>
      </c>
      <c r="E361" s="239" t="s">
        <v>86</v>
      </c>
      <c r="F361" s="240">
        <v>1</v>
      </c>
      <c r="G361" s="241">
        <v>213.15666666666667</v>
      </c>
      <c r="H361" s="242">
        <f t="shared" si="29"/>
        <v>213.16</v>
      </c>
    </row>
    <row r="362" spans="1:8" ht="12.75">
      <c r="A362" s="226"/>
      <c r="B362" s="243"/>
      <c r="C362" s="244"/>
      <c r="D362" s="245"/>
      <c r="E362" s="246"/>
      <c r="F362" s="247"/>
      <c r="G362" s="248"/>
      <c r="H362" s="249"/>
    </row>
    <row r="363" spans="1:8" ht="12.75">
      <c r="A363" s="226"/>
      <c r="B363" s="250" t="s">
        <v>709</v>
      </c>
      <c r="C363" s="251"/>
      <c r="D363" s="245"/>
      <c r="E363" s="252"/>
      <c r="F363" s="253"/>
      <c r="G363" s="254"/>
      <c r="H363" s="255"/>
    </row>
    <row r="364" spans="1:8" ht="25.5">
      <c r="A364" s="226"/>
      <c r="B364" s="272" t="s">
        <v>849</v>
      </c>
      <c r="C364" s="280" t="s">
        <v>850</v>
      </c>
      <c r="D364" s="267" t="s">
        <v>710</v>
      </c>
      <c r="E364" s="267"/>
      <c r="F364" s="267"/>
      <c r="G364" s="267"/>
      <c r="H364" s="268">
        <f>SUM(H359:H361)</f>
        <v>376.59999999999997</v>
      </c>
    </row>
    <row r="365" ht="12.75">
      <c r="A365" s="226"/>
    </row>
    <row r="366" ht="12.75">
      <c r="A366" s="226"/>
    </row>
    <row r="367" spans="1:8" ht="45" customHeight="1">
      <c r="A367" s="226"/>
      <c r="B367" s="227" t="s">
        <v>546</v>
      </c>
      <c r="C367" s="228"/>
      <c r="D367" s="229" t="s">
        <v>851</v>
      </c>
      <c r="E367" s="229"/>
      <c r="F367" s="229"/>
      <c r="G367" s="229"/>
      <c r="H367" s="230" t="s">
        <v>86</v>
      </c>
    </row>
    <row r="368" spans="1:8" ht="12.75">
      <c r="A368" s="226"/>
      <c r="B368" s="231" t="s">
        <v>700</v>
      </c>
      <c r="C368" s="232" t="s">
        <v>701</v>
      </c>
      <c r="D368" s="232" t="s">
        <v>702</v>
      </c>
      <c r="E368" s="233" t="s">
        <v>703</v>
      </c>
      <c r="F368" s="234" t="s">
        <v>704</v>
      </c>
      <c r="G368" s="232" t="s">
        <v>705</v>
      </c>
      <c r="H368" s="235" t="s">
        <v>706</v>
      </c>
    </row>
    <row r="369" spans="1:8" ht="25.5">
      <c r="A369" s="226"/>
      <c r="B369" s="236" t="s">
        <v>125</v>
      </c>
      <c r="C369" s="237">
        <v>88247</v>
      </c>
      <c r="D369" s="238" t="s">
        <v>759</v>
      </c>
      <c r="E369" s="239" t="s">
        <v>713</v>
      </c>
      <c r="F369" s="240">
        <v>0.3434</v>
      </c>
      <c r="G369" s="241">
        <v>18.25</v>
      </c>
      <c r="H369" s="242">
        <f aca="true" t="shared" si="30" ref="H369:H372">ROUND(F369*G369,2)</f>
        <v>6.27</v>
      </c>
    </row>
    <row r="370" spans="1:8" ht="25.5">
      <c r="A370" s="226"/>
      <c r="B370" s="236" t="s">
        <v>125</v>
      </c>
      <c r="C370" s="237">
        <v>88264</v>
      </c>
      <c r="D370" s="238" t="s">
        <v>758</v>
      </c>
      <c r="E370" s="239" t="s">
        <v>713</v>
      </c>
      <c r="F370" s="240">
        <v>0.3434</v>
      </c>
      <c r="G370" s="241">
        <v>22.61</v>
      </c>
      <c r="H370" s="242">
        <f t="shared" si="30"/>
        <v>7.76</v>
      </c>
    </row>
    <row r="371" spans="1:8" ht="51">
      <c r="A371" s="226"/>
      <c r="B371" s="236" t="s">
        <v>727</v>
      </c>
      <c r="C371" s="237">
        <v>11950</v>
      </c>
      <c r="D371" s="238" t="s">
        <v>852</v>
      </c>
      <c r="E371" s="239" t="s">
        <v>733</v>
      </c>
      <c r="F371" s="240">
        <v>2</v>
      </c>
      <c r="G371" s="241">
        <v>0.16</v>
      </c>
      <c r="H371" s="242">
        <f t="shared" si="30"/>
        <v>0.32</v>
      </c>
    </row>
    <row r="372" spans="1:8" ht="38.25">
      <c r="A372" s="226"/>
      <c r="B372" s="236" t="s">
        <v>742</v>
      </c>
      <c r="D372" s="238" t="s">
        <v>853</v>
      </c>
      <c r="E372" s="239" t="s">
        <v>86</v>
      </c>
      <c r="F372" s="240">
        <v>1</v>
      </c>
      <c r="G372" s="241">
        <v>17.790000000000003</v>
      </c>
      <c r="H372" s="242">
        <f t="shared" si="30"/>
        <v>17.79</v>
      </c>
    </row>
    <row r="373" spans="1:8" ht="12.75">
      <c r="A373" s="226"/>
      <c r="B373" s="243"/>
      <c r="C373" s="244"/>
      <c r="D373" s="245"/>
      <c r="E373" s="246"/>
      <c r="F373" s="247"/>
      <c r="G373" s="248"/>
      <c r="H373" s="249"/>
    </row>
    <row r="374" spans="1:8" ht="12.75">
      <c r="A374" s="226"/>
      <c r="B374" s="250" t="s">
        <v>709</v>
      </c>
      <c r="C374" s="251"/>
      <c r="D374" s="245"/>
      <c r="E374" s="252"/>
      <c r="F374" s="253"/>
      <c r="G374" s="254"/>
      <c r="H374" s="255"/>
    </row>
    <row r="375" spans="1:8" ht="12.75">
      <c r="A375" s="226"/>
      <c r="B375" s="272" t="s">
        <v>836</v>
      </c>
      <c r="C375" s="257" t="s">
        <v>854</v>
      </c>
      <c r="D375" s="258" t="s">
        <v>710</v>
      </c>
      <c r="E375" s="258"/>
      <c r="F375" s="258"/>
      <c r="G375" s="258"/>
      <c r="H375" s="259">
        <f>SUM(H369:H372)</f>
        <v>32.14</v>
      </c>
    </row>
    <row r="376" ht="12.75">
      <c r="A376" s="226"/>
    </row>
    <row r="377" ht="12.75">
      <c r="A377" s="226"/>
    </row>
    <row r="378" spans="1:8" ht="45" customHeight="1">
      <c r="A378" s="226"/>
      <c r="B378" s="227" t="s">
        <v>549</v>
      </c>
      <c r="C378" s="228"/>
      <c r="D378" s="229" t="s">
        <v>855</v>
      </c>
      <c r="E378" s="229"/>
      <c r="F378" s="229"/>
      <c r="G378" s="229"/>
      <c r="H378" s="230" t="s">
        <v>86</v>
      </c>
    </row>
    <row r="379" spans="1:8" ht="12.75">
      <c r="A379" s="226"/>
      <c r="B379" s="231" t="s">
        <v>700</v>
      </c>
      <c r="C379" s="232" t="s">
        <v>701</v>
      </c>
      <c r="D379" s="232" t="s">
        <v>702</v>
      </c>
      <c r="E379" s="233" t="s">
        <v>703</v>
      </c>
      <c r="F379" s="234" t="s">
        <v>704</v>
      </c>
      <c r="G379" s="232" t="s">
        <v>705</v>
      </c>
      <c r="H379" s="235" t="s">
        <v>706</v>
      </c>
    </row>
    <row r="380" spans="1:8" ht="25.5">
      <c r="A380" s="226"/>
      <c r="B380" s="236" t="s">
        <v>125</v>
      </c>
      <c r="C380" s="237">
        <v>88247</v>
      </c>
      <c r="D380" s="238" t="s">
        <v>759</v>
      </c>
      <c r="E380" s="239" t="s">
        <v>713</v>
      </c>
      <c r="F380" s="240">
        <v>0.3434</v>
      </c>
      <c r="G380" s="241">
        <v>18.25</v>
      </c>
      <c r="H380" s="242">
        <f aca="true" t="shared" si="31" ref="H380:H383">ROUND(F380*G380,2)</f>
        <v>6.27</v>
      </c>
    </row>
    <row r="381" spans="1:8" ht="25.5">
      <c r="A381" s="226"/>
      <c r="B381" s="236" t="s">
        <v>125</v>
      </c>
      <c r="C381" s="237">
        <v>88264</v>
      </c>
      <c r="D381" s="238" t="s">
        <v>758</v>
      </c>
      <c r="E381" s="239" t="s">
        <v>713</v>
      </c>
      <c r="F381" s="240">
        <v>0.3434</v>
      </c>
      <c r="G381" s="241">
        <v>22.61</v>
      </c>
      <c r="H381" s="242">
        <f t="shared" si="31"/>
        <v>7.76</v>
      </c>
    </row>
    <row r="382" spans="1:8" ht="51">
      <c r="A382" s="226"/>
      <c r="B382" s="236" t="s">
        <v>727</v>
      </c>
      <c r="C382" s="237">
        <v>11950</v>
      </c>
      <c r="D382" s="238" t="s">
        <v>852</v>
      </c>
      <c r="E382" s="239" t="s">
        <v>733</v>
      </c>
      <c r="F382" s="240">
        <v>2</v>
      </c>
      <c r="G382" s="241">
        <v>0.16</v>
      </c>
      <c r="H382" s="242">
        <f t="shared" si="31"/>
        <v>0.32</v>
      </c>
    </row>
    <row r="383" spans="1:8" ht="38.25">
      <c r="A383" s="226"/>
      <c r="B383" s="236" t="s">
        <v>742</v>
      </c>
      <c r="D383" s="274" t="s">
        <v>856</v>
      </c>
      <c r="E383" s="239" t="s">
        <v>86</v>
      </c>
      <c r="F383" s="240">
        <v>1</v>
      </c>
      <c r="G383" s="241">
        <v>19.896666666666665</v>
      </c>
      <c r="H383" s="242">
        <f t="shared" si="31"/>
        <v>19.9</v>
      </c>
    </row>
    <row r="384" spans="1:8" ht="12.75">
      <c r="A384" s="226"/>
      <c r="B384" s="243"/>
      <c r="C384" s="244"/>
      <c r="D384" s="245"/>
      <c r="E384" s="246"/>
      <c r="F384" s="247"/>
      <c r="G384" s="248"/>
      <c r="H384" s="249"/>
    </row>
    <row r="385" spans="1:8" ht="12.75">
      <c r="A385" s="226"/>
      <c r="B385" s="250" t="s">
        <v>709</v>
      </c>
      <c r="C385" s="251"/>
      <c r="D385" s="245"/>
      <c r="E385" s="252"/>
      <c r="F385" s="253"/>
      <c r="G385" s="254"/>
      <c r="H385" s="255"/>
    </row>
    <row r="386" spans="1:8" ht="12.75">
      <c r="A386" s="226"/>
      <c r="B386" s="272" t="s">
        <v>836</v>
      </c>
      <c r="C386" s="257" t="s">
        <v>854</v>
      </c>
      <c r="D386" s="258" t="s">
        <v>710</v>
      </c>
      <c r="E386" s="258"/>
      <c r="F386" s="258"/>
      <c r="G386" s="258"/>
      <c r="H386" s="259">
        <f>SUM(H380:H383)</f>
        <v>34.25</v>
      </c>
    </row>
    <row r="387" ht="12.75">
      <c r="A387" s="226"/>
    </row>
    <row r="388" ht="12.75">
      <c r="A388" s="226"/>
    </row>
    <row r="389" spans="1:8" ht="45" customHeight="1">
      <c r="A389" s="226"/>
      <c r="B389" s="227" t="s">
        <v>552</v>
      </c>
      <c r="C389" s="228"/>
      <c r="D389" s="229" t="s">
        <v>857</v>
      </c>
      <c r="E389" s="229"/>
      <c r="F389" s="229"/>
      <c r="G389" s="229"/>
      <c r="H389" s="230" t="s">
        <v>86</v>
      </c>
    </row>
    <row r="390" spans="1:8" ht="12.75">
      <c r="A390" s="226"/>
      <c r="B390" s="231" t="s">
        <v>700</v>
      </c>
      <c r="C390" s="232" t="s">
        <v>701</v>
      </c>
      <c r="D390" s="232" t="s">
        <v>702</v>
      </c>
      <c r="E390" s="233" t="s">
        <v>703</v>
      </c>
      <c r="F390" s="234" t="s">
        <v>704</v>
      </c>
      <c r="G390" s="232" t="s">
        <v>705</v>
      </c>
      <c r="H390" s="235" t="s">
        <v>706</v>
      </c>
    </row>
    <row r="391" spans="1:8" ht="25.5">
      <c r="A391" s="226"/>
      <c r="B391" s="236" t="s">
        <v>125</v>
      </c>
      <c r="C391" s="237">
        <v>88247</v>
      </c>
      <c r="D391" s="238" t="s">
        <v>759</v>
      </c>
      <c r="E391" s="239" t="s">
        <v>713</v>
      </c>
      <c r="F391" s="240">
        <v>0.3434</v>
      </c>
      <c r="G391" s="241">
        <v>18.25</v>
      </c>
      <c r="H391" s="242">
        <f aca="true" t="shared" si="32" ref="H391:H394">ROUND(F391*G391,2)</f>
        <v>6.27</v>
      </c>
    </row>
    <row r="392" spans="1:8" ht="25.5">
      <c r="A392" s="226"/>
      <c r="B392" s="236" t="s">
        <v>125</v>
      </c>
      <c r="C392" s="237">
        <v>88264</v>
      </c>
      <c r="D392" s="238" t="s">
        <v>758</v>
      </c>
      <c r="E392" s="239" t="s">
        <v>713</v>
      </c>
      <c r="F392" s="240">
        <v>0.3434</v>
      </c>
      <c r="G392" s="241">
        <v>22.61</v>
      </c>
      <c r="H392" s="242">
        <f t="shared" si="32"/>
        <v>7.76</v>
      </c>
    </row>
    <row r="393" spans="1:8" ht="51">
      <c r="A393" s="226"/>
      <c r="B393" s="236" t="s">
        <v>727</v>
      </c>
      <c r="C393" s="237">
        <v>11950</v>
      </c>
      <c r="D393" s="238" t="s">
        <v>852</v>
      </c>
      <c r="E393" s="239" t="s">
        <v>733</v>
      </c>
      <c r="F393" s="240">
        <v>2</v>
      </c>
      <c r="G393" s="241">
        <v>0.16</v>
      </c>
      <c r="H393" s="242">
        <f t="shared" si="32"/>
        <v>0.32</v>
      </c>
    </row>
    <row r="394" spans="1:8" ht="38.25">
      <c r="A394" s="226"/>
      <c r="B394" s="236" t="s">
        <v>727</v>
      </c>
      <c r="C394" s="237">
        <v>2593</v>
      </c>
      <c r="D394" s="238" t="s">
        <v>858</v>
      </c>
      <c r="E394" s="239" t="s">
        <v>733</v>
      </c>
      <c r="F394" s="240">
        <v>1</v>
      </c>
      <c r="G394" s="241">
        <v>11.8</v>
      </c>
      <c r="H394" s="242">
        <f t="shared" si="32"/>
        <v>11.8</v>
      </c>
    </row>
    <row r="395" spans="1:8" ht="12.75">
      <c r="A395" s="226"/>
      <c r="B395" s="243"/>
      <c r="C395" s="244"/>
      <c r="D395" s="245"/>
      <c r="E395" s="246"/>
      <c r="F395" s="247"/>
      <c r="G395" s="248"/>
      <c r="H395" s="249"/>
    </row>
    <row r="396" spans="1:8" ht="12.75">
      <c r="A396" s="226"/>
      <c r="B396" s="250" t="s">
        <v>709</v>
      </c>
      <c r="C396" s="251"/>
      <c r="D396" s="245"/>
      <c r="E396" s="252"/>
      <c r="F396" s="253"/>
      <c r="G396" s="254"/>
      <c r="H396" s="255"/>
    </row>
    <row r="397" spans="1:8" ht="12.75">
      <c r="A397" s="226"/>
      <c r="B397" s="272" t="s">
        <v>836</v>
      </c>
      <c r="C397" s="257" t="s">
        <v>854</v>
      </c>
      <c r="D397" s="258" t="s">
        <v>710</v>
      </c>
      <c r="E397" s="258"/>
      <c r="F397" s="258"/>
      <c r="G397" s="258"/>
      <c r="H397" s="259">
        <f>SUM(H391:H394)</f>
        <v>26.150000000000002</v>
      </c>
    </row>
    <row r="398" ht="12.75">
      <c r="A398" s="226"/>
    </row>
    <row r="399" ht="12.75">
      <c r="A399" s="226"/>
    </row>
    <row r="400" spans="1:8" ht="45" customHeight="1">
      <c r="A400" s="226"/>
      <c r="B400" s="227" t="s">
        <v>557</v>
      </c>
      <c r="C400" s="228"/>
      <c r="D400" s="229" t="s">
        <v>859</v>
      </c>
      <c r="E400" s="229"/>
      <c r="F400" s="229"/>
      <c r="G400" s="229"/>
      <c r="H400" s="230" t="s">
        <v>86</v>
      </c>
    </row>
    <row r="401" spans="1:8" ht="12.75">
      <c r="A401" s="226"/>
      <c r="B401" s="231" t="s">
        <v>700</v>
      </c>
      <c r="C401" s="232" t="s">
        <v>701</v>
      </c>
      <c r="D401" s="232" t="s">
        <v>702</v>
      </c>
      <c r="E401" s="233" t="s">
        <v>703</v>
      </c>
      <c r="F401" s="234" t="s">
        <v>704</v>
      </c>
      <c r="G401" s="232" t="s">
        <v>705</v>
      </c>
      <c r="H401" s="235" t="s">
        <v>706</v>
      </c>
    </row>
    <row r="402" spans="1:8" ht="25.5">
      <c r="A402" s="226"/>
      <c r="B402" s="236" t="s">
        <v>125</v>
      </c>
      <c r="C402" s="237">
        <v>88247</v>
      </c>
      <c r="D402" s="238" t="s">
        <v>759</v>
      </c>
      <c r="E402" s="239" t="s">
        <v>713</v>
      </c>
      <c r="F402" s="240">
        <v>0.3434</v>
      </c>
      <c r="G402" s="241">
        <v>18.25</v>
      </c>
      <c r="H402" s="242">
        <f aca="true" t="shared" si="33" ref="H402:H405">ROUND(F402*G402,2)</f>
        <v>6.27</v>
      </c>
    </row>
    <row r="403" spans="1:8" ht="25.5">
      <c r="A403" s="226"/>
      <c r="B403" s="236" t="s">
        <v>125</v>
      </c>
      <c r="C403" s="237">
        <v>88264</v>
      </c>
      <c r="D403" s="238" t="s">
        <v>758</v>
      </c>
      <c r="E403" s="239" t="s">
        <v>713</v>
      </c>
      <c r="F403" s="240">
        <v>0.3434</v>
      </c>
      <c r="G403" s="241">
        <v>22.61</v>
      </c>
      <c r="H403" s="242">
        <f t="shared" si="33"/>
        <v>7.76</v>
      </c>
    </row>
    <row r="404" spans="1:8" ht="51">
      <c r="A404" s="226"/>
      <c r="B404" s="236" t="s">
        <v>727</v>
      </c>
      <c r="C404" s="237">
        <v>11950</v>
      </c>
      <c r="D404" s="238" t="s">
        <v>852</v>
      </c>
      <c r="E404" s="239" t="s">
        <v>733</v>
      </c>
      <c r="F404" s="240">
        <v>2</v>
      </c>
      <c r="G404" s="241">
        <v>0.16</v>
      </c>
      <c r="H404" s="242">
        <f t="shared" si="33"/>
        <v>0.32</v>
      </c>
    </row>
    <row r="405" spans="1:8" ht="38.25">
      <c r="A405" s="226"/>
      <c r="B405" s="236" t="s">
        <v>742</v>
      </c>
      <c r="D405" s="274" t="s">
        <v>860</v>
      </c>
      <c r="E405" s="239" t="s">
        <v>86</v>
      </c>
      <c r="F405" s="240">
        <v>1</v>
      </c>
      <c r="G405" s="241">
        <v>22.2175</v>
      </c>
      <c r="H405" s="242">
        <f t="shared" si="33"/>
        <v>22.22</v>
      </c>
    </row>
    <row r="406" spans="1:8" ht="12.75">
      <c r="A406" s="226"/>
      <c r="B406" s="243"/>
      <c r="C406" s="244"/>
      <c r="D406" s="245"/>
      <c r="E406" s="246"/>
      <c r="F406" s="247"/>
      <c r="G406" s="248"/>
      <c r="H406" s="249"/>
    </row>
    <row r="407" spans="1:8" ht="12.75">
      <c r="A407" s="226"/>
      <c r="B407" s="250" t="s">
        <v>709</v>
      </c>
      <c r="C407" s="251"/>
      <c r="D407" s="245"/>
      <c r="E407" s="252"/>
      <c r="F407" s="253"/>
      <c r="G407" s="254"/>
      <c r="H407" s="255"/>
    </row>
    <row r="408" spans="1:8" ht="12.75">
      <c r="A408" s="226"/>
      <c r="B408" s="272" t="s">
        <v>836</v>
      </c>
      <c r="C408" s="257" t="s">
        <v>854</v>
      </c>
      <c r="D408" s="258" t="s">
        <v>710</v>
      </c>
      <c r="E408" s="258"/>
      <c r="F408" s="258"/>
      <c r="G408" s="258"/>
      <c r="H408" s="259">
        <f>SUM(H402:H405)</f>
        <v>36.56999999999999</v>
      </c>
    </row>
    <row r="409" ht="12.75">
      <c r="A409" s="226"/>
    </row>
    <row r="410" ht="12.75">
      <c r="A410" s="226"/>
    </row>
    <row r="411" spans="1:8" ht="30" customHeight="1">
      <c r="A411" s="226"/>
      <c r="B411" s="227" t="s">
        <v>562</v>
      </c>
      <c r="C411" s="228"/>
      <c r="D411" s="229" t="s">
        <v>861</v>
      </c>
      <c r="E411" s="229"/>
      <c r="F411" s="229"/>
      <c r="G411" s="229"/>
      <c r="H411" s="230" t="s">
        <v>82</v>
      </c>
    </row>
    <row r="412" spans="1:8" ht="12.75">
      <c r="A412" s="226"/>
      <c r="B412" s="231" t="s">
        <v>700</v>
      </c>
      <c r="C412" s="232" t="s">
        <v>701</v>
      </c>
      <c r="D412" s="232" t="s">
        <v>702</v>
      </c>
      <c r="E412" s="233" t="s">
        <v>703</v>
      </c>
      <c r="F412" s="234" t="s">
        <v>704</v>
      </c>
      <c r="G412" s="232" t="s">
        <v>705</v>
      </c>
      <c r="H412" s="235" t="s">
        <v>706</v>
      </c>
    </row>
    <row r="413" spans="1:8" ht="25.5">
      <c r="A413" s="226"/>
      <c r="B413" s="236" t="s">
        <v>125</v>
      </c>
      <c r="C413" s="237">
        <v>88251</v>
      </c>
      <c r="D413" s="238" t="s">
        <v>833</v>
      </c>
      <c r="E413" s="239" t="s">
        <v>713</v>
      </c>
      <c r="F413" s="240">
        <v>0.1407</v>
      </c>
      <c r="G413" s="241">
        <v>17.96</v>
      </c>
      <c r="H413" s="242">
        <f aca="true" t="shared" si="34" ref="H413:H415">ROUND(F413*G413,2)</f>
        <v>2.53</v>
      </c>
    </row>
    <row r="414" spans="1:8" ht="25.5">
      <c r="A414" s="226"/>
      <c r="B414" s="236" t="s">
        <v>125</v>
      </c>
      <c r="C414" s="237">
        <v>88315</v>
      </c>
      <c r="D414" s="238" t="s">
        <v>834</v>
      </c>
      <c r="E414" s="239" t="s">
        <v>713</v>
      </c>
      <c r="F414" s="240">
        <v>0.1407</v>
      </c>
      <c r="G414" s="241">
        <v>22.24</v>
      </c>
      <c r="H414" s="242">
        <f t="shared" si="34"/>
        <v>3.13</v>
      </c>
    </row>
    <row r="415" spans="1:8" ht="25.5">
      <c r="A415" s="226"/>
      <c r="B415" s="236" t="s">
        <v>727</v>
      </c>
      <c r="C415" s="237">
        <v>7311</v>
      </c>
      <c r="D415" s="238" t="s">
        <v>835</v>
      </c>
      <c r="E415" s="239" t="s">
        <v>735</v>
      </c>
      <c r="F415" s="240">
        <v>0.045714</v>
      </c>
      <c r="G415" s="241">
        <v>38.99</v>
      </c>
      <c r="H415" s="242">
        <f t="shared" si="34"/>
        <v>1.78</v>
      </c>
    </row>
    <row r="416" spans="1:8" ht="12.75">
      <c r="A416" s="226"/>
      <c r="B416" s="243"/>
      <c r="C416" s="244"/>
      <c r="D416" s="245"/>
      <c r="E416" s="246"/>
      <c r="F416" s="247"/>
      <c r="G416" s="248"/>
      <c r="H416" s="249"/>
    </row>
    <row r="417" spans="1:8" ht="12.75">
      <c r="A417" s="226"/>
      <c r="B417" s="250" t="s">
        <v>709</v>
      </c>
      <c r="C417" s="251"/>
      <c r="D417" s="245"/>
      <c r="E417" s="252"/>
      <c r="F417" s="253"/>
      <c r="G417" s="254"/>
      <c r="H417" s="255"/>
    </row>
    <row r="418" spans="1:8" ht="12.75">
      <c r="A418" s="226"/>
      <c r="B418" s="256"/>
      <c r="C418" s="257"/>
      <c r="D418" s="258" t="s">
        <v>710</v>
      </c>
      <c r="E418" s="258"/>
      <c r="F418" s="258"/>
      <c r="G418" s="258"/>
      <c r="H418" s="259">
        <f>SUM(H413:H415)</f>
        <v>7.4399999999999995</v>
      </c>
    </row>
    <row r="419" ht="12.75">
      <c r="A419" s="226"/>
    </row>
    <row r="420" ht="12.75">
      <c r="A420" s="226"/>
    </row>
    <row r="421" spans="1:8" ht="60" customHeight="1">
      <c r="A421" s="226"/>
      <c r="B421" s="227" t="s">
        <v>567</v>
      </c>
      <c r="C421" s="228"/>
      <c r="D421" s="229" t="s">
        <v>862</v>
      </c>
      <c r="E421" s="229"/>
      <c r="F421" s="229"/>
      <c r="G421" s="229"/>
      <c r="H421" s="230" t="s">
        <v>129</v>
      </c>
    </row>
    <row r="422" spans="1:8" ht="12.75">
      <c r="A422" s="226"/>
      <c r="B422" s="231" t="s">
        <v>700</v>
      </c>
      <c r="C422" s="232" t="s">
        <v>701</v>
      </c>
      <c r="D422" s="232" t="s">
        <v>702</v>
      </c>
      <c r="E422" s="233" t="s">
        <v>703</v>
      </c>
      <c r="F422" s="234" t="s">
        <v>704</v>
      </c>
      <c r="G422" s="232" t="s">
        <v>705</v>
      </c>
      <c r="H422" s="235" t="s">
        <v>706</v>
      </c>
    </row>
    <row r="423" spans="1:8" ht="25.5">
      <c r="A423" s="226"/>
      <c r="B423" s="236" t="s">
        <v>125</v>
      </c>
      <c r="C423" s="237">
        <v>88247</v>
      </c>
      <c r="D423" s="238" t="s">
        <v>759</v>
      </c>
      <c r="E423" s="239" t="s">
        <v>713</v>
      </c>
      <c r="F423" s="240">
        <v>0.33</v>
      </c>
      <c r="G423" s="241">
        <v>18.25</v>
      </c>
      <c r="H423" s="242">
        <f aca="true" t="shared" si="35" ref="H423:H426">ROUND(F423*G423,2)</f>
        <v>6.02</v>
      </c>
    </row>
    <row r="424" spans="1:8" ht="25.5">
      <c r="A424" s="226"/>
      <c r="B424" s="236" t="s">
        <v>125</v>
      </c>
      <c r="C424" s="237">
        <v>88264</v>
      </c>
      <c r="D424" s="238" t="s">
        <v>758</v>
      </c>
      <c r="E424" s="239" t="s">
        <v>713</v>
      </c>
      <c r="F424" s="240">
        <v>0.33</v>
      </c>
      <c r="G424" s="241">
        <v>22.61</v>
      </c>
      <c r="H424" s="242">
        <f t="shared" si="35"/>
        <v>7.46</v>
      </c>
    </row>
    <row r="425" spans="1:8" ht="51">
      <c r="A425" s="226"/>
      <c r="B425" s="236" t="s">
        <v>727</v>
      </c>
      <c r="C425" s="237">
        <v>38099</v>
      </c>
      <c r="D425" s="238" t="s">
        <v>863</v>
      </c>
      <c r="E425" s="239" t="s">
        <v>733</v>
      </c>
      <c r="F425" s="240">
        <v>1</v>
      </c>
      <c r="G425" s="241">
        <v>1.46</v>
      </c>
      <c r="H425" s="242">
        <f t="shared" si="35"/>
        <v>1.46</v>
      </c>
    </row>
    <row r="426" spans="1:8" ht="25.5">
      <c r="A426" s="226"/>
      <c r="B426" s="236" t="s">
        <v>727</v>
      </c>
      <c r="C426" s="237">
        <v>38101</v>
      </c>
      <c r="D426" s="238" t="s">
        <v>864</v>
      </c>
      <c r="E426" s="239" t="s">
        <v>733</v>
      </c>
      <c r="F426" s="240">
        <v>1</v>
      </c>
      <c r="G426" s="241">
        <v>7.56</v>
      </c>
      <c r="H426" s="242">
        <f t="shared" si="35"/>
        <v>7.56</v>
      </c>
    </row>
    <row r="427" spans="1:8" ht="12.75">
      <c r="A427" s="226"/>
      <c r="B427" s="243"/>
      <c r="C427" s="244"/>
      <c r="D427" s="245"/>
      <c r="E427" s="246"/>
      <c r="F427" s="247"/>
      <c r="G427" s="248"/>
      <c r="H427" s="249"/>
    </row>
    <row r="428" spans="1:8" ht="12.75">
      <c r="A428" s="226"/>
      <c r="B428" s="250" t="s">
        <v>709</v>
      </c>
      <c r="C428" s="251"/>
      <c r="D428" s="245"/>
      <c r="E428" s="252"/>
      <c r="F428" s="253"/>
      <c r="G428" s="254"/>
      <c r="H428" s="255"/>
    </row>
    <row r="429" spans="1:8" ht="12.75">
      <c r="A429" s="226"/>
      <c r="B429" s="256"/>
      <c r="C429" s="257"/>
      <c r="D429" s="258" t="s">
        <v>710</v>
      </c>
      <c r="E429" s="258"/>
      <c r="F429" s="258"/>
      <c r="G429" s="258"/>
      <c r="H429" s="259">
        <f>SUM(H423:H426)</f>
        <v>22.5</v>
      </c>
    </row>
    <row r="430" ht="12.75">
      <c r="A430" s="226"/>
    </row>
    <row r="431" ht="12.75">
      <c r="A431" s="226"/>
    </row>
    <row r="432" spans="1:8" ht="30" customHeight="1">
      <c r="A432" s="226"/>
      <c r="B432" s="227" t="s">
        <v>578</v>
      </c>
      <c r="C432" s="228"/>
      <c r="D432" s="229" t="s">
        <v>865</v>
      </c>
      <c r="E432" s="229"/>
      <c r="F432" s="229"/>
      <c r="G432" s="229"/>
      <c r="H432" s="230" t="s">
        <v>82</v>
      </c>
    </row>
    <row r="433" spans="1:8" ht="12.75">
      <c r="A433" s="226"/>
      <c r="B433" s="231" t="s">
        <v>700</v>
      </c>
      <c r="C433" s="232" t="s">
        <v>701</v>
      </c>
      <c r="D433" s="232" t="s">
        <v>702</v>
      </c>
      <c r="E433" s="233" t="s">
        <v>703</v>
      </c>
      <c r="F433" s="234" t="s">
        <v>704</v>
      </c>
      <c r="G433" s="232" t="s">
        <v>705</v>
      </c>
      <c r="H433" s="235" t="s">
        <v>706</v>
      </c>
    </row>
    <row r="434" spans="1:8" ht="25.5">
      <c r="A434" s="226"/>
      <c r="B434" s="236" t="s">
        <v>125</v>
      </c>
      <c r="C434" s="237">
        <v>88247</v>
      </c>
      <c r="D434" s="238" t="s">
        <v>759</v>
      </c>
      <c r="E434" s="239" t="s">
        <v>713</v>
      </c>
      <c r="F434" s="240">
        <v>0.03</v>
      </c>
      <c r="G434" s="241">
        <v>18.25</v>
      </c>
      <c r="H434" s="242">
        <f aca="true" t="shared" si="36" ref="H434:H437">ROUND(F434*G434,2)</f>
        <v>0.55</v>
      </c>
    </row>
    <row r="435" spans="1:8" ht="25.5">
      <c r="A435" s="226"/>
      <c r="B435" s="236" t="s">
        <v>125</v>
      </c>
      <c r="C435" s="237">
        <v>88264</v>
      </c>
      <c r="D435" s="238" t="s">
        <v>758</v>
      </c>
      <c r="E435" s="239" t="s">
        <v>713</v>
      </c>
      <c r="F435" s="240">
        <v>0.03</v>
      </c>
      <c r="G435" s="241">
        <v>22.61</v>
      </c>
      <c r="H435" s="242">
        <f t="shared" si="36"/>
        <v>0.68</v>
      </c>
    </row>
    <row r="436" spans="1:8" ht="25.5">
      <c r="A436" s="226"/>
      <c r="B436" s="236" t="s">
        <v>727</v>
      </c>
      <c r="C436" s="237">
        <v>21127</v>
      </c>
      <c r="D436" s="238" t="s">
        <v>866</v>
      </c>
      <c r="E436" s="239" t="s">
        <v>733</v>
      </c>
      <c r="F436" s="240">
        <v>0.009</v>
      </c>
      <c r="G436" s="241">
        <v>3.7</v>
      </c>
      <c r="H436" s="242">
        <f t="shared" si="36"/>
        <v>0.03</v>
      </c>
    </row>
    <row r="437" spans="1:8" ht="25.5">
      <c r="A437" s="226"/>
      <c r="B437" s="236" t="s">
        <v>742</v>
      </c>
      <c r="D437" s="274" t="s">
        <v>867</v>
      </c>
      <c r="E437" s="239" t="s">
        <v>82</v>
      </c>
      <c r="F437" s="240">
        <v>0.011899999999999999</v>
      </c>
      <c r="G437" s="241">
        <v>676.8333333333334</v>
      </c>
      <c r="H437" s="242">
        <f t="shared" si="36"/>
        <v>8.05</v>
      </c>
    </row>
    <row r="438" spans="1:8" ht="12.75">
      <c r="A438" s="226"/>
      <c r="B438" s="243"/>
      <c r="C438" s="244"/>
      <c r="D438" s="245"/>
      <c r="E438" s="246"/>
      <c r="F438" s="247"/>
      <c r="G438" s="248"/>
      <c r="H438" s="249"/>
    </row>
    <row r="439" spans="1:8" ht="12.75">
      <c r="A439" s="226"/>
      <c r="B439" s="250" t="s">
        <v>709</v>
      </c>
      <c r="C439" s="251"/>
      <c r="D439" s="245"/>
      <c r="E439" s="252"/>
      <c r="F439" s="253"/>
      <c r="G439" s="254"/>
      <c r="H439" s="255"/>
    </row>
    <row r="440" spans="1:8" ht="12.75">
      <c r="A440" s="226"/>
      <c r="B440" s="272" t="s">
        <v>836</v>
      </c>
      <c r="C440" s="257" t="s">
        <v>868</v>
      </c>
      <c r="D440" s="258" t="s">
        <v>710</v>
      </c>
      <c r="E440" s="258"/>
      <c r="F440" s="258"/>
      <c r="G440" s="258"/>
      <c r="H440" s="259">
        <f>SUM(H434:H437)</f>
        <v>9.310000000000002</v>
      </c>
    </row>
    <row r="441" ht="12.75">
      <c r="A441" s="226"/>
    </row>
    <row r="442" ht="12.75">
      <c r="A442" s="226"/>
    </row>
    <row r="443" spans="1:8" ht="60" customHeight="1">
      <c r="A443" s="226"/>
      <c r="B443" s="227" t="s">
        <v>76</v>
      </c>
      <c r="C443" s="228"/>
      <c r="D443" s="229" t="s">
        <v>869</v>
      </c>
      <c r="E443" s="229"/>
      <c r="F443" s="229"/>
      <c r="G443" s="229"/>
      <c r="H443" s="230" t="s">
        <v>55</v>
      </c>
    </row>
    <row r="444" spans="1:8" ht="12.75">
      <c r="A444" s="226"/>
      <c r="B444" s="231" t="s">
        <v>700</v>
      </c>
      <c r="C444" s="232" t="s">
        <v>701</v>
      </c>
      <c r="D444" s="232" t="s">
        <v>702</v>
      </c>
      <c r="E444" s="233" t="s">
        <v>703</v>
      </c>
      <c r="F444" s="234" t="s">
        <v>704</v>
      </c>
      <c r="G444" s="232" t="s">
        <v>705</v>
      </c>
      <c r="H444" s="235" t="s">
        <v>706</v>
      </c>
    </row>
    <row r="445" spans="1:8" ht="25.5">
      <c r="A445" s="226"/>
      <c r="B445" s="236" t="s">
        <v>125</v>
      </c>
      <c r="C445" s="237">
        <v>88262</v>
      </c>
      <c r="D445" s="238" t="s">
        <v>870</v>
      </c>
      <c r="E445" s="239" t="s">
        <v>713</v>
      </c>
      <c r="F445" s="240">
        <v>0.2</v>
      </c>
      <c r="G445" s="241">
        <v>22.12</v>
      </c>
      <c r="H445" s="242">
        <f aca="true" t="shared" si="37" ref="H445:H451">ROUND(F445*G445,2)</f>
        <v>4.42</v>
      </c>
    </row>
    <row r="446" spans="1:8" ht="25.5">
      <c r="A446" s="226"/>
      <c r="B446" s="236" t="s">
        <v>125</v>
      </c>
      <c r="C446" s="237">
        <v>88316</v>
      </c>
      <c r="D446" s="238" t="s">
        <v>712</v>
      </c>
      <c r="E446" s="239" t="s">
        <v>713</v>
      </c>
      <c r="F446" s="240">
        <v>0.2</v>
      </c>
      <c r="G446" s="241">
        <v>16.21</v>
      </c>
      <c r="H446" s="242">
        <f t="shared" si="37"/>
        <v>3.24</v>
      </c>
    </row>
    <row r="447" spans="1:8" ht="38.25">
      <c r="A447" s="226"/>
      <c r="B447" s="236" t="s">
        <v>727</v>
      </c>
      <c r="C447" s="237">
        <v>4491</v>
      </c>
      <c r="D447" s="238" t="s">
        <v>871</v>
      </c>
      <c r="E447" s="239" t="s">
        <v>872</v>
      </c>
      <c r="F447" s="240">
        <v>1.6</v>
      </c>
      <c r="G447" s="241">
        <v>8.39</v>
      </c>
      <c r="H447" s="242">
        <f t="shared" si="37"/>
        <v>13.42</v>
      </c>
    </row>
    <row r="448" spans="1:8" ht="25.5">
      <c r="A448" s="226"/>
      <c r="B448" s="236" t="s">
        <v>727</v>
      </c>
      <c r="C448" s="237">
        <v>5075</v>
      </c>
      <c r="D448" s="238" t="s">
        <v>873</v>
      </c>
      <c r="E448" s="239" t="s">
        <v>874</v>
      </c>
      <c r="F448" s="240">
        <v>0.05</v>
      </c>
      <c r="G448" s="241">
        <v>25.43</v>
      </c>
      <c r="H448" s="242">
        <f t="shared" si="37"/>
        <v>1.27</v>
      </c>
    </row>
    <row r="449" spans="1:8" ht="25.5">
      <c r="A449" s="226"/>
      <c r="B449" s="236" t="s">
        <v>727</v>
      </c>
      <c r="C449" s="237">
        <v>5069</v>
      </c>
      <c r="D449" s="238" t="s">
        <v>875</v>
      </c>
      <c r="E449" s="239" t="s">
        <v>874</v>
      </c>
      <c r="F449" s="240">
        <v>0.02</v>
      </c>
      <c r="G449" s="241">
        <v>25.92</v>
      </c>
      <c r="H449" s="242">
        <f t="shared" si="37"/>
        <v>0.52</v>
      </c>
    </row>
    <row r="450" spans="1:8" ht="38.25">
      <c r="A450" s="226"/>
      <c r="B450" s="236" t="s">
        <v>727</v>
      </c>
      <c r="C450" s="237">
        <v>4300</v>
      </c>
      <c r="D450" s="238" t="s">
        <v>876</v>
      </c>
      <c r="E450" s="239" t="s">
        <v>733</v>
      </c>
      <c r="F450" s="240">
        <v>3</v>
      </c>
      <c r="G450" s="241">
        <v>1.18</v>
      </c>
      <c r="H450" s="242">
        <f t="shared" si="37"/>
        <v>3.54</v>
      </c>
    </row>
    <row r="451" spans="1:8" ht="25.5">
      <c r="A451" s="226"/>
      <c r="B451" s="236" t="s">
        <v>742</v>
      </c>
      <c r="D451" s="274" t="s">
        <v>877</v>
      </c>
      <c r="E451" s="239" t="s">
        <v>86</v>
      </c>
      <c r="F451" s="240">
        <v>0.5412371134020619</v>
      </c>
      <c r="G451" s="241">
        <v>82.51333333333334</v>
      </c>
      <c r="H451" s="242">
        <f t="shared" si="37"/>
        <v>44.66</v>
      </c>
    </row>
    <row r="452" spans="1:8" ht="12.75">
      <c r="A452" s="226"/>
      <c r="B452" s="243"/>
      <c r="C452" s="244"/>
      <c r="D452" s="245"/>
      <c r="E452" s="246"/>
      <c r="F452" s="247"/>
      <c r="G452" s="248"/>
      <c r="H452" s="249"/>
    </row>
    <row r="453" spans="1:8" ht="12.75">
      <c r="A453" s="226"/>
      <c r="B453" s="250" t="s">
        <v>709</v>
      </c>
      <c r="C453" s="251"/>
      <c r="D453" s="245"/>
      <c r="E453" s="252"/>
      <c r="F453" s="253"/>
      <c r="G453" s="254"/>
      <c r="H453" s="255"/>
    </row>
    <row r="454" spans="1:8" ht="12.75">
      <c r="A454" s="226"/>
      <c r="B454" s="256"/>
      <c r="C454" s="257"/>
      <c r="D454" s="258" t="s">
        <v>710</v>
      </c>
      <c r="E454" s="258"/>
      <c r="F454" s="258"/>
      <c r="G454" s="258"/>
      <c r="H454" s="259">
        <f>SUM(H445:H451)</f>
        <v>71.07</v>
      </c>
    </row>
    <row r="455" ht="12.75">
      <c r="A455" s="226"/>
    </row>
    <row r="456" ht="12.75">
      <c r="A456" s="226"/>
    </row>
    <row r="457" spans="1:8" ht="30" customHeight="1">
      <c r="A457" s="226"/>
      <c r="B457" s="227" t="s">
        <v>87</v>
      </c>
      <c r="C457" s="228"/>
      <c r="D457" s="229" t="s">
        <v>878</v>
      </c>
      <c r="E457" s="229"/>
      <c r="F457" s="229"/>
      <c r="G457" s="229"/>
      <c r="H457" s="230" t="s">
        <v>86</v>
      </c>
    </row>
    <row r="458" spans="1:8" ht="12.75">
      <c r="A458" s="226"/>
      <c r="B458" s="231" t="s">
        <v>700</v>
      </c>
      <c r="C458" s="232" t="s">
        <v>701</v>
      </c>
      <c r="D458" s="232" t="s">
        <v>702</v>
      </c>
      <c r="E458" s="233" t="s">
        <v>703</v>
      </c>
      <c r="F458" s="234" t="s">
        <v>704</v>
      </c>
      <c r="G458" s="232" t="s">
        <v>705</v>
      </c>
      <c r="H458" s="235" t="s">
        <v>706</v>
      </c>
    </row>
    <row r="459" spans="1:8" ht="25.5">
      <c r="A459" s="226"/>
      <c r="B459" s="236" t="s">
        <v>125</v>
      </c>
      <c r="C459" s="237">
        <v>88316</v>
      </c>
      <c r="D459" s="238" t="s">
        <v>712</v>
      </c>
      <c r="E459" s="239" t="s">
        <v>713</v>
      </c>
      <c r="F459" s="240">
        <v>0.2</v>
      </c>
      <c r="G459" s="241">
        <v>16.21</v>
      </c>
      <c r="H459" s="242">
        <f aca="true" t="shared" si="38" ref="H459:H460">ROUND(F459*G459,2)</f>
        <v>3.24</v>
      </c>
    </row>
    <row r="460" spans="1:8" ht="25.5">
      <c r="A460" s="226"/>
      <c r="B460" s="236" t="s">
        <v>727</v>
      </c>
      <c r="C460" s="237">
        <v>13244</v>
      </c>
      <c r="D460" s="238" t="s">
        <v>879</v>
      </c>
      <c r="E460" s="239" t="s">
        <v>733</v>
      </c>
      <c r="F460" s="240">
        <v>1</v>
      </c>
      <c r="G460" s="241">
        <v>52.6</v>
      </c>
      <c r="H460" s="242">
        <f t="shared" si="38"/>
        <v>52.6</v>
      </c>
    </row>
    <row r="461" spans="1:8" ht="12.75">
      <c r="A461" s="226"/>
      <c r="B461" s="243"/>
      <c r="C461" s="244"/>
      <c r="D461" s="245"/>
      <c r="E461" s="246"/>
      <c r="F461" s="247"/>
      <c r="G461" s="248"/>
      <c r="H461" s="249"/>
    </row>
    <row r="462" spans="1:8" ht="12.75">
      <c r="A462" s="226"/>
      <c r="B462" s="250" t="s">
        <v>709</v>
      </c>
      <c r="C462" s="251"/>
      <c r="D462" s="245"/>
      <c r="E462" s="252"/>
      <c r="F462" s="253"/>
      <c r="G462" s="254"/>
      <c r="H462" s="255"/>
    </row>
    <row r="463" spans="1:8" ht="12.75">
      <c r="A463" s="226"/>
      <c r="B463" s="256"/>
      <c r="C463" s="257"/>
      <c r="D463" s="258" t="s">
        <v>710</v>
      </c>
      <c r="E463" s="258"/>
      <c r="F463" s="258"/>
      <c r="G463" s="258"/>
      <c r="H463" s="259">
        <f>SUM(H459:H460)</f>
        <v>55.84</v>
      </c>
    </row>
    <row r="464" ht="12.75">
      <c r="A464" s="226"/>
    </row>
    <row r="465" ht="12.75">
      <c r="A465" s="226"/>
    </row>
    <row r="466" spans="1:8" ht="12.75" customHeight="1">
      <c r="A466" s="226"/>
      <c r="B466" s="227" t="s">
        <v>90</v>
      </c>
      <c r="C466" s="228"/>
      <c r="D466" s="229" t="s">
        <v>880</v>
      </c>
      <c r="E466" s="229"/>
      <c r="F466" s="229"/>
      <c r="G466" s="229"/>
      <c r="H466" s="230" t="s">
        <v>82</v>
      </c>
    </row>
    <row r="467" spans="1:8" ht="12.75">
      <c r="A467" s="226"/>
      <c r="B467" s="231" t="s">
        <v>700</v>
      </c>
      <c r="C467" s="232" t="s">
        <v>701</v>
      </c>
      <c r="D467" s="232" t="s">
        <v>702</v>
      </c>
      <c r="E467" s="233" t="s">
        <v>703</v>
      </c>
      <c r="F467" s="234" t="s">
        <v>704</v>
      </c>
      <c r="G467" s="232" t="s">
        <v>705</v>
      </c>
      <c r="H467" s="235" t="s">
        <v>706</v>
      </c>
    </row>
    <row r="468" spans="1:8" ht="25.5">
      <c r="A468" s="226"/>
      <c r="B468" s="236" t="s">
        <v>125</v>
      </c>
      <c r="C468" s="237">
        <v>88316</v>
      </c>
      <c r="D468" s="238" t="s">
        <v>712</v>
      </c>
      <c r="E468" s="239" t="s">
        <v>713</v>
      </c>
      <c r="F468" s="240">
        <v>0.05</v>
      </c>
      <c r="G468" s="241">
        <v>16.21</v>
      </c>
      <c r="H468" s="242">
        <f aca="true" t="shared" si="39" ref="H468:H469">ROUND(F468*G468,2)</f>
        <v>0.81</v>
      </c>
    </row>
    <row r="469" spans="1:8" ht="25.5">
      <c r="A469" s="226"/>
      <c r="B469" s="236" t="s">
        <v>881</v>
      </c>
      <c r="C469" s="237" t="s">
        <v>882</v>
      </c>
      <c r="D469" s="238" t="s">
        <v>883</v>
      </c>
      <c r="E469" s="239" t="s">
        <v>82</v>
      </c>
      <c r="F469" s="240">
        <v>1</v>
      </c>
      <c r="G469" s="241">
        <v>0.05</v>
      </c>
      <c r="H469" s="242">
        <f t="shared" si="39"/>
        <v>0.05</v>
      </c>
    </row>
    <row r="470" spans="1:8" ht="12.75">
      <c r="A470" s="226"/>
      <c r="B470" s="243"/>
      <c r="C470" s="244"/>
      <c r="D470" s="245"/>
      <c r="E470" s="246"/>
      <c r="F470" s="247"/>
      <c r="G470" s="248"/>
      <c r="H470" s="249"/>
    </row>
    <row r="471" spans="1:8" ht="12.75">
      <c r="A471" s="226"/>
      <c r="B471" s="250" t="s">
        <v>709</v>
      </c>
      <c r="C471" s="251"/>
      <c r="D471" s="245"/>
      <c r="E471" s="252"/>
      <c r="F471" s="253"/>
      <c r="G471" s="254"/>
      <c r="H471" s="255"/>
    </row>
    <row r="472" spans="1:8" ht="12.75">
      <c r="A472" s="226"/>
      <c r="B472" s="256"/>
      <c r="C472" s="257"/>
      <c r="D472" s="258" t="s">
        <v>710</v>
      </c>
      <c r="E472" s="258"/>
      <c r="F472" s="258"/>
      <c r="G472" s="258"/>
      <c r="H472" s="259">
        <f>SUM(H468:H469)</f>
        <v>0.8600000000000001</v>
      </c>
    </row>
    <row r="473" ht="12.75">
      <c r="A473" s="226"/>
    </row>
    <row r="474" ht="12.75">
      <c r="A474" s="226"/>
    </row>
    <row r="475" spans="1:8" ht="150" customHeight="1">
      <c r="A475" s="226"/>
      <c r="B475" s="227" t="s">
        <v>118</v>
      </c>
      <c r="C475" s="228"/>
      <c r="D475" s="229" t="s">
        <v>884</v>
      </c>
      <c r="E475" s="229"/>
      <c r="F475" s="229"/>
      <c r="G475" s="229"/>
      <c r="H475" s="230" t="s">
        <v>86</v>
      </c>
    </row>
    <row r="476" spans="1:8" ht="12.75">
      <c r="A476" s="226"/>
      <c r="B476" s="231" t="s">
        <v>700</v>
      </c>
      <c r="C476" s="232" t="s">
        <v>701</v>
      </c>
      <c r="D476" s="232" t="s">
        <v>702</v>
      </c>
      <c r="E476" s="233" t="s">
        <v>703</v>
      </c>
      <c r="F476" s="234" t="s">
        <v>704</v>
      </c>
      <c r="G476" s="232" t="s">
        <v>705</v>
      </c>
      <c r="H476" s="235" t="s">
        <v>706</v>
      </c>
    </row>
    <row r="477" spans="1:8" ht="25.5">
      <c r="A477" s="226"/>
      <c r="B477" s="236" t="s">
        <v>56</v>
      </c>
      <c r="C477" s="237" t="s">
        <v>885</v>
      </c>
      <c r="D477" s="238" t="s">
        <v>886</v>
      </c>
      <c r="E477" s="239" t="s">
        <v>887</v>
      </c>
      <c r="F477" s="240">
        <v>1</v>
      </c>
      <c r="G477" s="241">
        <v>913.78</v>
      </c>
      <c r="H477" s="242">
        <f aca="true" t="shared" si="40" ref="H477:H479">ROUND(F477*G477,2)</f>
        <v>913.78</v>
      </c>
    </row>
    <row r="478" spans="1:8" ht="25.5">
      <c r="A478" s="226"/>
      <c r="B478" s="236" t="s">
        <v>56</v>
      </c>
      <c r="C478" s="237" t="s">
        <v>888</v>
      </c>
      <c r="D478" s="238" t="s">
        <v>889</v>
      </c>
      <c r="E478" s="239" t="s">
        <v>887</v>
      </c>
      <c r="F478" s="240">
        <v>1</v>
      </c>
      <c r="G478" s="241">
        <v>568.84</v>
      </c>
      <c r="H478" s="242">
        <f t="shared" si="40"/>
        <v>568.84</v>
      </c>
    </row>
    <row r="479" spans="1:8" ht="12.75">
      <c r="A479" s="226"/>
      <c r="B479" s="236"/>
      <c r="C479" s="281"/>
      <c r="D479" s="238" t="s">
        <v>890</v>
      </c>
      <c r="E479" s="239" t="s">
        <v>86</v>
      </c>
      <c r="F479" s="240">
        <v>1</v>
      </c>
      <c r="G479" s="241">
        <v>86.55</v>
      </c>
      <c r="H479" s="242">
        <f t="shared" si="40"/>
        <v>86.55</v>
      </c>
    </row>
    <row r="480" spans="1:8" ht="12.75">
      <c r="A480" s="226"/>
      <c r="B480" s="243"/>
      <c r="C480" s="244"/>
      <c r="D480" s="245"/>
      <c r="E480" s="246"/>
      <c r="F480" s="247"/>
      <c r="G480" s="248"/>
      <c r="H480" s="249"/>
    </row>
    <row r="481" spans="1:8" ht="12.75">
      <c r="A481" s="226"/>
      <c r="B481" s="250" t="s">
        <v>709</v>
      </c>
      <c r="C481" s="251"/>
      <c r="D481" s="245"/>
      <c r="E481" s="252"/>
      <c r="F481" s="253"/>
      <c r="G481" s="254"/>
      <c r="H481" s="255"/>
    </row>
    <row r="482" spans="1:8" ht="12.75">
      <c r="A482" s="226"/>
      <c r="B482" s="256"/>
      <c r="C482" s="257"/>
      <c r="D482" s="258" t="s">
        <v>710</v>
      </c>
      <c r="E482" s="258"/>
      <c r="F482" s="258"/>
      <c r="G482" s="258"/>
      <c r="H482" s="259">
        <f>SUM(H477:H479)</f>
        <v>1569.17</v>
      </c>
    </row>
    <row r="483" ht="12.75">
      <c r="A483" s="226"/>
    </row>
    <row r="484" ht="12.75">
      <c r="A484" s="226"/>
    </row>
    <row r="485" spans="1:8" ht="30" customHeight="1">
      <c r="A485" s="226"/>
      <c r="B485" s="227" t="s">
        <v>635</v>
      </c>
      <c r="C485" s="228"/>
      <c r="D485" s="229" t="s">
        <v>891</v>
      </c>
      <c r="E485" s="229"/>
      <c r="F485" s="229"/>
      <c r="G485" s="229"/>
      <c r="H485" s="230" t="s">
        <v>55</v>
      </c>
    </row>
    <row r="486" spans="1:8" ht="12.75">
      <c r="A486" s="226"/>
      <c r="B486" s="231" t="s">
        <v>700</v>
      </c>
      <c r="C486" s="232" t="s">
        <v>701</v>
      </c>
      <c r="D486" s="232" t="s">
        <v>702</v>
      </c>
      <c r="E486" s="233" t="s">
        <v>703</v>
      </c>
      <c r="F486" s="234" t="s">
        <v>704</v>
      </c>
      <c r="G486" s="232" t="s">
        <v>705</v>
      </c>
      <c r="H486" s="235" t="s">
        <v>706</v>
      </c>
    </row>
    <row r="487" spans="1:8" ht="25.5">
      <c r="A487" s="226"/>
      <c r="B487" s="236" t="s">
        <v>125</v>
      </c>
      <c r="C487" s="237">
        <v>88309</v>
      </c>
      <c r="D487" s="238" t="s">
        <v>752</v>
      </c>
      <c r="E487" s="239" t="s">
        <v>713</v>
      </c>
      <c r="F487" s="240">
        <v>0.06</v>
      </c>
      <c r="G487" s="241">
        <v>22.37</v>
      </c>
      <c r="H487" s="242">
        <f aca="true" t="shared" si="41" ref="H487:H488">ROUND(F487*G487,2)</f>
        <v>1.34</v>
      </c>
    </row>
    <row r="488" spans="1:8" ht="25.5">
      <c r="A488" s="226"/>
      <c r="B488" s="236" t="s">
        <v>125</v>
      </c>
      <c r="C488" s="237">
        <v>88316</v>
      </c>
      <c r="D488" s="238" t="s">
        <v>712</v>
      </c>
      <c r="E488" s="239" t="s">
        <v>713</v>
      </c>
      <c r="F488" s="240">
        <v>0.6</v>
      </c>
      <c r="G488" s="241">
        <v>16.21</v>
      </c>
      <c r="H488" s="242">
        <f t="shared" si="41"/>
        <v>9.73</v>
      </c>
    </row>
    <row r="489" spans="1:8" ht="12.75">
      <c r="A489" s="226"/>
      <c r="B489" s="243"/>
      <c r="C489" s="244"/>
      <c r="D489" s="245"/>
      <c r="E489" s="246"/>
      <c r="F489" s="247"/>
      <c r="G489" s="248"/>
      <c r="H489" s="249"/>
    </row>
    <row r="490" spans="1:8" ht="12.75">
      <c r="A490" s="226"/>
      <c r="B490" s="250" t="s">
        <v>709</v>
      </c>
      <c r="C490" s="251"/>
      <c r="D490" s="245"/>
      <c r="E490" s="252"/>
      <c r="F490" s="253"/>
      <c r="G490" s="254"/>
      <c r="H490" s="255"/>
    </row>
    <row r="491" spans="1:8" ht="25.5">
      <c r="A491" s="226"/>
      <c r="B491" s="272" t="s">
        <v>849</v>
      </c>
      <c r="C491" s="278" t="s">
        <v>892</v>
      </c>
      <c r="D491" s="267" t="s">
        <v>710</v>
      </c>
      <c r="E491" s="267"/>
      <c r="F491" s="267"/>
      <c r="G491" s="267"/>
      <c r="H491" s="268">
        <f>SUM(H487:H488)</f>
        <v>11.07</v>
      </c>
    </row>
    <row r="492" ht="12.75">
      <c r="A492" s="226"/>
    </row>
    <row r="493" ht="12.75">
      <c r="A493" s="226"/>
    </row>
    <row r="494" spans="1:8" ht="30" customHeight="1">
      <c r="A494" s="226"/>
      <c r="B494" s="227" t="s">
        <v>661</v>
      </c>
      <c r="C494" s="228"/>
      <c r="D494" s="229" t="s">
        <v>893</v>
      </c>
      <c r="E494" s="229"/>
      <c r="F494" s="229"/>
      <c r="G494" s="229"/>
      <c r="H494" s="230" t="s">
        <v>82</v>
      </c>
    </row>
    <row r="495" spans="1:8" ht="12.75">
      <c r="A495" s="226"/>
      <c r="B495" s="231" t="s">
        <v>700</v>
      </c>
      <c r="C495" s="232" t="s">
        <v>701</v>
      </c>
      <c r="D495" s="232" t="s">
        <v>702</v>
      </c>
      <c r="E495" s="233" t="s">
        <v>703</v>
      </c>
      <c r="F495" s="234" t="s">
        <v>704</v>
      </c>
      <c r="G495" s="232" t="s">
        <v>705</v>
      </c>
      <c r="H495" s="235" t="s">
        <v>706</v>
      </c>
    </row>
    <row r="496" spans="1:8" ht="25.5">
      <c r="A496" s="226"/>
      <c r="B496" s="236" t="s">
        <v>125</v>
      </c>
      <c r="C496" s="237">
        <v>88309</v>
      </c>
      <c r="D496" s="238" t="s">
        <v>752</v>
      </c>
      <c r="E496" s="239" t="s">
        <v>713</v>
      </c>
      <c r="F496" s="240">
        <v>1</v>
      </c>
      <c r="G496" s="241">
        <v>22.37</v>
      </c>
      <c r="H496" s="242">
        <f aca="true" t="shared" si="42" ref="H496:H497">ROUND(F496*G496,2)</f>
        <v>22.37</v>
      </c>
    </row>
    <row r="497" spans="1:8" ht="25.5">
      <c r="A497" s="226"/>
      <c r="B497" s="236" t="s">
        <v>125</v>
      </c>
      <c r="C497" s="237">
        <v>88316</v>
      </c>
      <c r="D497" s="238" t="s">
        <v>712</v>
      </c>
      <c r="E497" s="239" t="s">
        <v>713</v>
      </c>
      <c r="F497" s="240">
        <v>2</v>
      </c>
      <c r="G497" s="241">
        <v>16.21</v>
      </c>
      <c r="H497" s="242">
        <f t="shared" si="42"/>
        <v>32.42</v>
      </c>
    </row>
    <row r="498" spans="1:8" ht="12.75">
      <c r="A498" s="226"/>
      <c r="B498" s="243"/>
      <c r="C498" s="244"/>
      <c r="D498" s="245"/>
      <c r="E498" s="246"/>
      <c r="F498" s="247"/>
      <c r="G498" s="248"/>
      <c r="H498" s="249"/>
    </row>
    <row r="499" spans="1:8" ht="12.75">
      <c r="A499" s="226"/>
      <c r="B499" s="250" t="s">
        <v>709</v>
      </c>
      <c r="C499" s="251"/>
      <c r="D499" s="245"/>
      <c r="E499" s="252"/>
      <c r="F499" s="253"/>
      <c r="G499" s="254"/>
      <c r="H499" s="255"/>
    </row>
    <row r="500" spans="1:8" s="279" customFormat="1" ht="25.5">
      <c r="A500" s="277"/>
      <c r="B500" s="282" t="s">
        <v>894</v>
      </c>
      <c r="C500" s="278" t="s">
        <v>895</v>
      </c>
      <c r="D500" s="267" t="s">
        <v>710</v>
      </c>
      <c r="E500" s="267"/>
      <c r="F500" s="267"/>
      <c r="G500" s="267"/>
      <c r="H500" s="268">
        <f>SUM(H496:H497)</f>
        <v>54.790000000000006</v>
      </c>
    </row>
    <row r="501" ht="12.75">
      <c r="A501" s="226"/>
    </row>
    <row r="502" ht="12.75">
      <c r="A502" s="226"/>
    </row>
    <row r="503" spans="1:8" ht="75" customHeight="1">
      <c r="A503" s="226"/>
      <c r="B503" s="227" t="s">
        <v>52</v>
      </c>
      <c r="C503" s="228"/>
      <c r="D503" s="229" t="s">
        <v>896</v>
      </c>
      <c r="E503" s="229"/>
      <c r="F503" s="229"/>
      <c r="G503" s="229"/>
      <c r="H503" s="230" t="s">
        <v>2</v>
      </c>
    </row>
    <row r="504" spans="1:8" ht="12.75">
      <c r="A504" s="226"/>
      <c r="B504" s="231" t="s">
        <v>700</v>
      </c>
      <c r="C504" s="232" t="s">
        <v>701</v>
      </c>
      <c r="D504" s="232" t="s">
        <v>702</v>
      </c>
      <c r="E504" s="233" t="s">
        <v>703</v>
      </c>
      <c r="F504" s="234" t="s">
        <v>704</v>
      </c>
      <c r="G504" s="232" t="s">
        <v>705</v>
      </c>
      <c r="H504" s="235" t="s">
        <v>706</v>
      </c>
    </row>
    <row r="505" spans="1:8" ht="25.5">
      <c r="A505" s="226"/>
      <c r="B505" s="236" t="s">
        <v>56</v>
      </c>
      <c r="C505" s="237" t="s">
        <v>897</v>
      </c>
      <c r="D505" s="238" t="s">
        <v>898</v>
      </c>
      <c r="E505" s="239" t="s">
        <v>330</v>
      </c>
      <c r="F505" s="240">
        <v>1</v>
      </c>
      <c r="G505" s="241">
        <v>301.83</v>
      </c>
      <c r="H505" s="242">
        <f aca="true" t="shared" si="43" ref="H505:H508">ROUND(F505*G505,2)</f>
        <v>301.83</v>
      </c>
    </row>
    <row r="506" spans="1:8" ht="38.25">
      <c r="A506" s="226"/>
      <c r="B506" s="236" t="s">
        <v>61</v>
      </c>
      <c r="C506" s="237" t="s">
        <v>899</v>
      </c>
      <c r="D506" s="238" t="s">
        <v>900</v>
      </c>
      <c r="E506" s="239" t="s">
        <v>901</v>
      </c>
      <c r="F506" s="240">
        <v>1</v>
      </c>
      <c r="G506" s="241">
        <v>319.1</v>
      </c>
      <c r="H506" s="242">
        <f t="shared" si="43"/>
        <v>319.1</v>
      </c>
    </row>
    <row r="507" spans="1:8" ht="63.75">
      <c r="A507" s="226"/>
      <c r="B507" s="236" t="s">
        <v>61</v>
      </c>
      <c r="C507" s="237" t="s">
        <v>902</v>
      </c>
      <c r="D507" s="238" t="s">
        <v>903</v>
      </c>
      <c r="E507" s="239" t="s">
        <v>901</v>
      </c>
      <c r="F507" s="240">
        <v>3</v>
      </c>
      <c r="G507" s="241">
        <v>672.56</v>
      </c>
      <c r="H507" s="242">
        <f t="shared" si="43"/>
        <v>2017.68</v>
      </c>
    </row>
    <row r="508" spans="1:8" ht="25.5">
      <c r="A508" s="226"/>
      <c r="B508" s="236" t="s">
        <v>56</v>
      </c>
      <c r="C508" s="237" t="s">
        <v>904</v>
      </c>
      <c r="D508" s="238" t="s">
        <v>905</v>
      </c>
      <c r="E508" s="239" t="s">
        <v>906</v>
      </c>
      <c r="F508" s="240">
        <v>0.25</v>
      </c>
      <c r="G508" s="241">
        <v>3222.58</v>
      </c>
      <c r="H508" s="242">
        <f t="shared" si="43"/>
        <v>805.65</v>
      </c>
    </row>
    <row r="509" spans="1:8" ht="12.75">
      <c r="A509" s="226"/>
      <c r="B509" s="243"/>
      <c r="C509" s="244"/>
      <c r="D509" s="245"/>
      <c r="E509" s="246"/>
      <c r="F509" s="247"/>
      <c r="G509" s="248"/>
      <c r="H509" s="249"/>
    </row>
    <row r="510" spans="1:8" ht="12.75">
      <c r="A510" s="226"/>
      <c r="B510" s="250" t="s">
        <v>709</v>
      </c>
      <c r="C510" s="251"/>
      <c r="D510" s="245"/>
      <c r="E510" s="252"/>
      <c r="F510" s="253"/>
      <c r="G510" s="254"/>
      <c r="H510" s="255"/>
    </row>
    <row r="511" spans="1:8" ht="12.75">
      <c r="A511" s="226"/>
      <c r="B511" s="256"/>
      <c r="C511" s="257"/>
      <c r="D511" s="258" t="s">
        <v>710</v>
      </c>
      <c r="E511" s="258"/>
      <c r="F511" s="258"/>
      <c r="G511" s="258"/>
      <c r="H511" s="259">
        <f>SUM(H505:H508)</f>
        <v>3444.26</v>
      </c>
    </row>
    <row r="512" ht="12.75">
      <c r="A512" s="226"/>
    </row>
    <row r="513" ht="12.75">
      <c r="A513" s="226"/>
    </row>
    <row r="514" spans="1:8" ht="30" customHeight="1">
      <c r="A514" s="226"/>
      <c r="B514" s="227" t="s">
        <v>95</v>
      </c>
      <c r="C514" s="228"/>
      <c r="D514" s="229" t="s">
        <v>907</v>
      </c>
      <c r="E514" s="229"/>
      <c r="F514" s="229"/>
      <c r="G514" s="229"/>
      <c r="H514" s="230" t="s">
        <v>2</v>
      </c>
    </row>
    <row r="515" spans="1:8" ht="12.75">
      <c r="A515" s="226"/>
      <c r="B515" s="231" t="s">
        <v>700</v>
      </c>
      <c r="C515" s="232" t="s">
        <v>701</v>
      </c>
      <c r="D515" s="232" t="s">
        <v>702</v>
      </c>
      <c r="E515" s="233" t="s">
        <v>703</v>
      </c>
      <c r="F515" s="234" t="s">
        <v>704</v>
      </c>
      <c r="G515" s="232" t="s">
        <v>705</v>
      </c>
      <c r="H515" s="235" t="s">
        <v>706</v>
      </c>
    </row>
    <row r="516" spans="1:8" ht="25.5">
      <c r="A516" s="226"/>
      <c r="B516" s="236" t="s">
        <v>727</v>
      </c>
      <c r="C516" s="237">
        <v>40864</v>
      </c>
      <c r="D516" s="238" t="s">
        <v>908</v>
      </c>
      <c r="E516" s="239" t="s">
        <v>909</v>
      </c>
      <c r="F516" s="240">
        <v>1.5</v>
      </c>
      <c r="G516" s="241">
        <v>11.8</v>
      </c>
      <c r="H516" s="242">
        <f aca="true" t="shared" si="44" ref="H516:H520">ROUND(F516*G516,2)</f>
        <v>17.7</v>
      </c>
    </row>
    <row r="517" spans="1:8" ht="38.25">
      <c r="A517" s="226"/>
      <c r="B517" s="236" t="s">
        <v>727</v>
      </c>
      <c r="C517" s="237">
        <v>43474</v>
      </c>
      <c r="D517" s="238" t="s">
        <v>910</v>
      </c>
      <c r="E517" s="239" t="s">
        <v>909</v>
      </c>
      <c r="F517" s="240">
        <v>1.5</v>
      </c>
      <c r="G517" s="241">
        <v>1.9</v>
      </c>
      <c r="H517" s="242">
        <f t="shared" si="44"/>
        <v>2.85</v>
      </c>
    </row>
    <row r="518" spans="1:8" ht="38.25">
      <c r="A518" s="226"/>
      <c r="B518" s="236" t="s">
        <v>727</v>
      </c>
      <c r="C518" s="237">
        <v>43498</v>
      </c>
      <c r="D518" s="238" t="s">
        <v>911</v>
      </c>
      <c r="E518" s="239" t="s">
        <v>909</v>
      </c>
      <c r="F518" s="240">
        <v>1.5</v>
      </c>
      <c r="G518" s="241">
        <v>123.54</v>
      </c>
      <c r="H518" s="242">
        <f t="shared" si="44"/>
        <v>185.31</v>
      </c>
    </row>
    <row r="519" spans="1:8" ht="25.5">
      <c r="A519" s="226"/>
      <c r="B519" s="236" t="s">
        <v>742</v>
      </c>
      <c r="D519" s="274" t="s">
        <v>912</v>
      </c>
      <c r="E519" s="239" t="s">
        <v>909</v>
      </c>
      <c r="F519" s="240">
        <v>1.5</v>
      </c>
      <c r="G519" s="241">
        <v>6533.63</v>
      </c>
      <c r="H519" s="242">
        <f t="shared" si="44"/>
        <v>9800.45</v>
      </c>
    </row>
    <row r="520" spans="1:8" ht="25.5">
      <c r="A520" s="226"/>
      <c r="B520" s="236"/>
      <c r="C520" s="281"/>
      <c r="D520" s="274" t="s">
        <v>913</v>
      </c>
      <c r="E520" s="239"/>
      <c r="F520" s="240">
        <v>0.495</v>
      </c>
      <c r="G520" s="241">
        <v>9800.45</v>
      </c>
      <c r="H520" s="242">
        <f t="shared" si="44"/>
        <v>4851.22</v>
      </c>
    </row>
    <row r="521" spans="1:8" ht="12.75">
      <c r="A521" s="226"/>
      <c r="B521" s="243"/>
      <c r="C521" s="261" t="s">
        <v>914</v>
      </c>
      <c r="D521" s="245"/>
      <c r="E521" s="246"/>
      <c r="F521" s="247"/>
      <c r="G521" s="248"/>
      <c r="H521" s="249"/>
    </row>
    <row r="522" ht="12.75">
      <c r="A522" s="226"/>
    </row>
    <row r="523" spans="1:8" ht="12.75">
      <c r="A523" s="226"/>
      <c r="B523" s="250" t="s">
        <v>709</v>
      </c>
      <c r="C523" s="251"/>
      <c r="D523" s="245"/>
      <c r="E523" s="252"/>
      <c r="F523" s="253"/>
      <c r="G523" s="254"/>
      <c r="H523" s="255"/>
    </row>
    <row r="524" spans="1:8" ht="12.75">
      <c r="A524" s="226"/>
      <c r="B524" s="272" t="s">
        <v>915</v>
      </c>
      <c r="C524" s="257" t="s">
        <v>916</v>
      </c>
      <c r="D524" s="258" t="s">
        <v>710</v>
      </c>
      <c r="E524" s="258"/>
      <c r="F524" s="258"/>
      <c r="G524" s="258"/>
      <c r="H524" s="259">
        <f>SUM(H516:H520)</f>
        <v>14857.530000000002</v>
      </c>
    </row>
    <row r="525" ht="12.75">
      <c r="A525" s="226"/>
    </row>
    <row r="526" ht="12.75">
      <c r="A526" s="226"/>
    </row>
    <row r="527" spans="1:8" ht="30" customHeight="1">
      <c r="A527" s="226"/>
      <c r="B527" s="227" t="s">
        <v>98</v>
      </c>
      <c r="C527" s="228"/>
      <c r="D527" s="229" t="s">
        <v>917</v>
      </c>
      <c r="E527" s="229"/>
      <c r="F527" s="229"/>
      <c r="G527" s="229"/>
      <c r="H527" s="230" t="s">
        <v>2</v>
      </c>
    </row>
    <row r="528" spans="1:8" ht="12.75">
      <c r="A528" s="226"/>
      <c r="B528" s="231" t="s">
        <v>700</v>
      </c>
      <c r="C528" s="232" t="s">
        <v>701</v>
      </c>
      <c r="D528" s="232" t="s">
        <v>702</v>
      </c>
      <c r="E528" s="233" t="s">
        <v>703</v>
      </c>
      <c r="F528" s="234" t="s">
        <v>704</v>
      </c>
      <c r="G528" s="232" t="s">
        <v>705</v>
      </c>
      <c r="H528" s="235" t="s">
        <v>706</v>
      </c>
    </row>
    <row r="529" spans="1:8" ht="25.5">
      <c r="A529" s="226"/>
      <c r="B529" s="236" t="s">
        <v>727</v>
      </c>
      <c r="C529" s="237">
        <v>40864</v>
      </c>
      <c r="D529" s="238" t="s">
        <v>908</v>
      </c>
      <c r="E529" s="239" t="s">
        <v>909</v>
      </c>
      <c r="F529" s="240">
        <v>6</v>
      </c>
      <c r="G529" s="241">
        <v>11.8</v>
      </c>
      <c r="H529" s="242">
        <f aca="true" t="shared" si="45" ref="H529:H533">ROUND(F529*G529,2)</f>
        <v>70.8</v>
      </c>
    </row>
    <row r="530" spans="1:8" ht="38.25">
      <c r="A530" s="226"/>
      <c r="B530" s="236" t="s">
        <v>727</v>
      </c>
      <c r="C530" s="237">
        <v>43475</v>
      </c>
      <c r="D530" s="238" t="s">
        <v>918</v>
      </c>
      <c r="E530" s="239" t="s">
        <v>909</v>
      </c>
      <c r="F530" s="240">
        <v>6</v>
      </c>
      <c r="G530" s="241">
        <v>18.58</v>
      </c>
      <c r="H530" s="242">
        <f t="shared" si="45"/>
        <v>111.48</v>
      </c>
    </row>
    <row r="531" spans="1:8" ht="38.25">
      <c r="A531" s="226"/>
      <c r="B531" s="236" t="s">
        <v>727</v>
      </c>
      <c r="C531" s="237">
        <v>43499</v>
      </c>
      <c r="D531" s="238" t="s">
        <v>919</v>
      </c>
      <c r="E531" s="239" t="s">
        <v>909</v>
      </c>
      <c r="F531" s="240">
        <v>6</v>
      </c>
      <c r="G531" s="241">
        <v>202.94</v>
      </c>
      <c r="H531" s="242">
        <f t="shared" si="45"/>
        <v>1217.64</v>
      </c>
    </row>
    <row r="532" spans="1:8" ht="25.5">
      <c r="A532" s="226"/>
      <c r="B532" s="236" t="s">
        <v>742</v>
      </c>
      <c r="D532" s="274" t="s">
        <v>920</v>
      </c>
      <c r="E532" s="239" t="s">
        <v>909</v>
      </c>
      <c r="F532" s="240">
        <v>6</v>
      </c>
      <c r="G532" s="241">
        <v>2714.49</v>
      </c>
      <c r="H532" s="242">
        <f t="shared" si="45"/>
        <v>16286.94</v>
      </c>
    </row>
    <row r="533" spans="1:8" ht="25.5">
      <c r="A533" s="226"/>
      <c r="B533" s="236"/>
      <c r="C533" s="281"/>
      <c r="D533" s="274" t="s">
        <v>913</v>
      </c>
      <c r="E533" s="239"/>
      <c r="F533" s="240">
        <v>0.495</v>
      </c>
      <c r="G533" s="241">
        <v>16286.94</v>
      </c>
      <c r="H533" s="242">
        <f t="shared" si="45"/>
        <v>8062.04</v>
      </c>
    </row>
    <row r="534" spans="1:8" ht="12.75">
      <c r="A534" s="226"/>
      <c r="B534" s="243"/>
      <c r="C534" s="261" t="s">
        <v>921</v>
      </c>
      <c r="D534" s="245"/>
      <c r="E534" s="246"/>
      <c r="F534" s="247"/>
      <c r="G534" s="248"/>
      <c r="H534" s="249"/>
    </row>
    <row r="535" spans="1:8" ht="12.75">
      <c r="A535" s="226"/>
      <c r="B535" s="243"/>
      <c r="C535" s="244"/>
      <c r="D535" s="245"/>
      <c r="E535" s="246"/>
      <c r="F535" s="247"/>
      <c r="G535" s="248"/>
      <c r="H535" s="249"/>
    </row>
    <row r="536" spans="1:8" ht="12.75">
      <c r="A536" s="226"/>
      <c r="B536" s="250" t="s">
        <v>709</v>
      </c>
      <c r="C536" s="251"/>
      <c r="D536" s="245"/>
      <c r="E536" s="252"/>
      <c r="F536" s="253"/>
      <c r="G536" s="254"/>
      <c r="H536" s="255"/>
    </row>
    <row r="537" spans="1:8" ht="12.75">
      <c r="A537" s="226"/>
      <c r="B537" s="272" t="s">
        <v>915</v>
      </c>
      <c r="C537" s="257" t="s">
        <v>922</v>
      </c>
      <c r="D537" s="258" t="s">
        <v>710</v>
      </c>
      <c r="E537" s="258"/>
      <c r="F537" s="258"/>
      <c r="G537" s="258"/>
      <c r="H537" s="259">
        <f>SUM(H529:H533)</f>
        <v>25748.9</v>
      </c>
    </row>
    <row r="538" ht="12.75">
      <c r="A538" s="226"/>
    </row>
    <row r="539" ht="12.75">
      <c r="A539" s="226"/>
    </row>
    <row r="540" spans="1:8" ht="45" customHeight="1">
      <c r="A540" s="226"/>
      <c r="B540" s="227" t="s">
        <v>101</v>
      </c>
      <c r="C540" s="228"/>
      <c r="D540" s="229" t="s">
        <v>923</v>
      </c>
      <c r="E540" s="229"/>
      <c r="F540" s="229"/>
      <c r="G540" s="229"/>
      <c r="H540" s="230" t="s">
        <v>2</v>
      </c>
    </row>
    <row r="541" spans="1:8" ht="12.75">
      <c r="A541" s="226"/>
      <c r="B541" s="231" t="s">
        <v>700</v>
      </c>
      <c r="C541" s="232" t="s">
        <v>701</v>
      </c>
      <c r="D541" s="232" t="s">
        <v>702</v>
      </c>
      <c r="E541" s="233" t="s">
        <v>703</v>
      </c>
      <c r="F541" s="234" t="s">
        <v>704</v>
      </c>
      <c r="G541" s="232" t="s">
        <v>705</v>
      </c>
      <c r="H541" s="235" t="s">
        <v>706</v>
      </c>
    </row>
    <row r="542" spans="1:8" ht="25.5">
      <c r="A542" s="226"/>
      <c r="B542" s="236" t="s">
        <v>125</v>
      </c>
      <c r="C542" s="237">
        <v>88316</v>
      </c>
      <c r="D542" s="238" t="s">
        <v>712</v>
      </c>
      <c r="E542" s="239" t="s">
        <v>713</v>
      </c>
      <c r="F542" s="240">
        <v>132</v>
      </c>
      <c r="G542" s="241">
        <v>16.21</v>
      </c>
      <c r="H542" s="242">
        <f>ROUND(F542*G542,2)</f>
        <v>2139.72</v>
      </c>
    </row>
    <row r="543" spans="1:8" ht="12.75">
      <c r="A543" s="226"/>
      <c r="B543" s="243"/>
      <c r="C543" s="261" t="s">
        <v>924</v>
      </c>
      <c r="D543" s="245"/>
      <c r="E543" s="246"/>
      <c r="F543" s="247"/>
      <c r="G543" s="248"/>
      <c r="H543" s="249"/>
    </row>
    <row r="544" spans="1:8" ht="12.75">
      <c r="A544" s="226"/>
      <c r="B544" s="243"/>
      <c r="C544" s="244"/>
      <c r="D544" s="245"/>
      <c r="E544" s="246"/>
      <c r="F544" s="247"/>
      <c r="G544" s="248"/>
      <c r="H544" s="249"/>
    </row>
    <row r="545" spans="1:8" ht="12.75">
      <c r="A545" s="226"/>
      <c r="B545" s="250" t="s">
        <v>709</v>
      </c>
      <c r="C545" s="251"/>
      <c r="D545" s="245"/>
      <c r="E545" s="252"/>
      <c r="F545" s="253"/>
      <c r="G545" s="254"/>
      <c r="H545" s="255"/>
    </row>
    <row r="546" spans="1:8" ht="12.75">
      <c r="A546" s="226"/>
      <c r="B546" s="256"/>
      <c r="C546" s="257"/>
      <c r="D546" s="258" t="s">
        <v>710</v>
      </c>
      <c r="E546" s="258"/>
      <c r="F546" s="258"/>
      <c r="G546" s="258"/>
      <c r="H546" s="259">
        <f>SUM(H542:H542)</f>
        <v>2139.72</v>
      </c>
    </row>
    <row r="547" ht="12.75">
      <c r="A547" s="226"/>
    </row>
    <row r="548" ht="12.75">
      <c r="A548" s="226"/>
    </row>
    <row r="549" spans="1:8" ht="90" customHeight="1">
      <c r="A549" s="226"/>
      <c r="B549" s="227" t="s">
        <v>79</v>
      </c>
      <c r="C549" s="228"/>
      <c r="D549" s="229" t="s">
        <v>925</v>
      </c>
      <c r="E549" s="229"/>
      <c r="F549" s="229"/>
      <c r="G549" s="229"/>
      <c r="H549" s="230" t="s">
        <v>55</v>
      </c>
    </row>
    <row r="550" spans="1:8" ht="12.75">
      <c r="A550" s="226"/>
      <c r="B550" s="231" t="s">
        <v>700</v>
      </c>
      <c r="C550" s="232" t="s">
        <v>701</v>
      </c>
      <c r="D550" s="232" t="s">
        <v>702</v>
      </c>
      <c r="E550" s="233" t="s">
        <v>703</v>
      </c>
      <c r="F550" s="234" t="s">
        <v>704</v>
      </c>
      <c r="G550" s="232" t="s">
        <v>705</v>
      </c>
      <c r="H550" s="235" t="s">
        <v>706</v>
      </c>
    </row>
    <row r="551" spans="1:8" ht="25.5">
      <c r="A551" s="226"/>
      <c r="B551" s="236" t="s">
        <v>125</v>
      </c>
      <c r="C551" s="237">
        <v>88262</v>
      </c>
      <c r="D551" s="238" t="s">
        <v>870</v>
      </c>
      <c r="E551" s="239" t="s">
        <v>713</v>
      </c>
      <c r="F551" s="240">
        <v>0.2</v>
      </c>
      <c r="G551" s="241">
        <v>22.12</v>
      </c>
      <c r="H551" s="242">
        <f aca="true" t="shared" si="46" ref="H551:H558">ROUND(F551*G551,2)</f>
        <v>4.42</v>
      </c>
    </row>
    <row r="552" spans="1:8" ht="25.5">
      <c r="A552" s="226"/>
      <c r="B552" s="236" t="s">
        <v>125</v>
      </c>
      <c r="C552" s="237">
        <v>88316</v>
      </c>
      <c r="D552" s="238" t="s">
        <v>712</v>
      </c>
      <c r="E552" s="239" t="s">
        <v>713</v>
      </c>
      <c r="F552" s="240">
        <v>0.2</v>
      </c>
      <c r="G552" s="241">
        <v>16.21</v>
      </c>
      <c r="H552" s="242">
        <f t="shared" si="46"/>
        <v>3.24</v>
      </c>
    </row>
    <row r="553" spans="1:8" ht="38.25">
      <c r="A553" s="226"/>
      <c r="B553" s="236" t="s">
        <v>727</v>
      </c>
      <c r="C553" s="237">
        <v>4491</v>
      </c>
      <c r="D553" s="238" t="s">
        <v>871</v>
      </c>
      <c r="E553" s="239" t="s">
        <v>872</v>
      </c>
      <c r="F553" s="240">
        <v>1.6</v>
      </c>
      <c r="G553" s="241">
        <v>8.39</v>
      </c>
      <c r="H553" s="242">
        <f t="shared" si="46"/>
        <v>13.42</v>
      </c>
    </row>
    <row r="554" spans="1:8" ht="25.5">
      <c r="A554" s="226"/>
      <c r="B554" s="236" t="s">
        <v>727</v>
      </c>
      <c r="C554" s="237">
        <v>5075</v>
      </c>
      <c r="D554" s="238" t="s">
        <v>873</v>
      </c>
      <c r="E554" s="239" t="s">
        <v>874</v>
      </c>
      <c r="F554" s="240">
        <v>0.05</v>
      </c>
      <c r="G554" s="241">
        <v>25.43</v>
      </c>
      <c r="H554" s="242">
        <f t="shared" si="46"/>
        <v>1.27</v>
      </c>
    </row>
    <row r="555" spans="1:8" ht="25.5">
      <c r="A555" s="226"/>
      <c r="B555" s="236" t="s">
        <v>727</v>
      </c>
      <c r="C555" s="237">
        <v>5069</v>
      </c>
      <c r="D555" s="238" t="s">
        <v>875</v>
      </c>
      <c r="E555" s="239" t="s">
        <v>874</v>
      </c>
      <c r="F555" s="240">
        <v>0.02</v>
      </c>
      <c r="G555" s="241">
        <v>25.92</v>
      </c>
      <c r="H555" s="242">
        <f t="shared" si="46"/>
        <v>0.52</v>
      </c>
    </row>
    <row r="556" spans="1:8" ht="38.25">
      <c r="A556" s="226"/>
      <c r="B556" s="236" t="s">
        <v>727</v>
      </c>
      <c r="C556" s="237">
        <v>4300</v>
      </c>
      <c r="D556" s="238" t="s">
        <v>876</v>
      </c>
      <c r="E556" s="239" t="s">
        <v>733</v>
      </c>
      <c r="F556" s="240">
        <v>1.5</v>
      </c>
      <c r="G556" s="241">
        <v>1.18</v>
      </c>
      <c r="H556" s="242">
        <f t="shared" si="46"/>
        <v>1.77</v>
      </c>
    </row>
    <row r="557" spans="1:8" ht="38.25">
      <c r="A557" s="226"/>
      <c r="B557" s="236" t="s">
        <v>727</v>
      </c>
      <c r="C557" s="237">
        <v>37524</v>
      </c>
      <c r="D557" s="238" t="s">
        <v>926</v>
      </c>
      <c r="E557" s="239" t="s">
        <v>872</v>
      </c>
      <c r="F557" s="240">
        <v>1.05</v>
      </c>
      <c r="G557" s="241">
        <v>3</v>
      </c>
      <c r="H557" s="242">
        <f t="shared" si="46"/>
        <v>3.15</v>
      </c>
    </row>
    <row r="558" spans="1:8" ht="25.5">
      <c r="A558" s="226"/>
      <c r="B558" s="236" t="s">
        <v>742</v>
      </c>
      <c r="D558" s="274" t="s">
        <v>877</v>
      </c>
      <c r="E558" s="239" t="s">
        <v>86</v>
      </c>
      <c r="F558" s="240">
        <v>0.27061855670103097</v>
      </c>
      <c r="G558" s="241">
        <v>82.51333333333334</v>
      </c>
      <c r="H558" s="242">
        <f t="shared" si="46"/>
        <v>22.33</v>
      </c>
    </row>
    <row r="559" spans="1:8" ht="12.75">
      <c r="A559" s="226"/>
      <c r="B559" s="243"/>
      <c r="C559" s="244"/>
      <c r="D559" s="245"/>
      <c r="E559" s="246"/>
      <c r="F559" s="247"/>
      <c r="G559" s="248"/>
      <c r="H559" s="249"/>
    </row>
    <row r="560" spans="1:8" ht="12.75">
      <c r="A560" s="226"/>
      <c r="B560" s="250" t="s">
        <v>709</v>
      </c>
      <c r="C560" s="251"/>
      <c r="D560" s="245"/>
      <c r="E560" s="252"/>
      <c r="F560" s="253"/>
      <c r="G560" s="254"/>
      <c r="H560" s="255"/>
    </row>
    <row r="561" spans="1:8" ht="12.75">
      <c r="A561" s="226"/>
      <c r="B561" s="256"/>
      <c r="C561" s="257"/>
      <c r="D561" s="258" t="s">
        <v>710</v>
      </c>
      <c r="E561" s="258"/>
      <c r="F561" s="258"/>
      <c r="G561" s="258"/>
      <c r="H561" s="259">
        <f>SUM(H551:H558)</f>
        <v>50.12</v>
      </c>
    </row>
    <row r="562" ht="12.75">
      <c r="A562" s="226"/>
    </row>
    <row r="563" ht="12.75">
      <c r="A563" s="226"/>
    </row>
    <row r="564" spans="1:8" ht="60" customHeight="1">
      <c r="A564" s="226"/>
      <c r="B564" s="227" t="s">
        <v>195</v>
      </c>
      <c r="C564" s="228"/>
      <c r="D564" s="229" t="s">
        <v>927</v>
      </c>
      <c r="E564" s="229"/>
      <c r="F564" s="229"/>
      <c r="G564" s="229"/>
      <c r="H564" s="230" t="s">
        <v>86</v>
      </c>
    </row>
    <row r="565" spans="1:8" ht="12.75">
      <c r="A565" s="226"/>
      <c r="B565" s="231" t="s">
        <v>700</v>
      </c>
      <c r="C565" s="232" t="s">
        <v>701</v>
      </c>
      <c r="D565" s="232" t="s">
        <v>702</v>
      </c>
      <c r="E565" s="233" t="s">
        <v>703</v>
      </c>
      <c r="F565" s="234" t="s">
        <v>704</v>
      </c>
      <c r="G565" s="232" t="s">
        <v>705</v>
      </c>
      <c r="H565" s="235" t="s">
        <v>706</v>
      </c>
    </row>
    <row r="566" spans="1:8" ht="51">
      <c r="A566" s="226"/>
      <c r="B566" s="236" t="s">
        <v>125</v>
      </c>
      <c r="C566" s="283">
        <v>97983</v>
      </c>
      <c r="D566" s="238" t="s">
        <v>928</v>
      </c>
      <c r="E566" s="239" t="s">
        <v>82</v>
      </c>
      <c r="F566" s="240">
        <v>0.5</v>
      </c>
      <c r="G566" s="241">
        <v>522.31</v>
      </c>
      <c r="H566" s="242">
        <f aca="true" t="shared" si="47" ref="H566:H568">ROUND(F566*G566,2)</f>
        <v>261.16</v>
      </c>
    </row>
    <row r="567" spans="1:8" ht="38.25">
      <c r="A567" s="226"/>
      <c r="B567" s="236" t="s">
        <v>125</v>
      </c>
      <c r="C567" s="283">
        <v>98114</v>
      </c>
      <c r="D567" s="238" t="s">
        <v>929</v>
      </c>
      <c r="E567" s="239" t="s">
        <v>330</v>
      </c>
      <c r="F567" s="240">
        <v>1</v>
      </c>
      <c r="G567" s="241">
        <v>541.94</v>
      </c>
      <c r="H567" s="242">
        <f t="shared" si="47"/>
        <v>541.94</v>
      </c>
    </row>
    <row r="568" spans="1:8" ht="63.75">
      <c r="A568" s="226"/>
      <c r="B568" s="236" t="s">
        <v>125</v>
      </c>
      <c r="C568" s="283">
        <v>99285</v>
      </c>
      <c r="D568" s="238" t="s">
        <v>930</v>
      </c>
      <c r="E568" s="239" t="s">
        <v>330</v>
      </c>
      <c r="F568" s="240">
        <v>1.2962962962962963</v>
      </c>
      <c r="G568" s="241">
        <v>1280.42</v>
      </c>
      <c r="H568" s="242">
        <f t="shared" si="47"/>
        <v>1659.8</v>
      </c>
    </row>
    <row r="569" spans="1:8" ht="12.75">
      <c r="A569" s="226"/>
      <c r="B569" s="243"/>
      <c r="C569" s="244"/>
      <c r="D569" s="245"/>
      <c r="E569" s="246"/>
      <c r="F569" s="247"/>
      <c r="G569" s="248"/>
      <c r="H569" s="249"/>
    </row>
    <row r="570" spans="1:8" ht="12.75">
      <c r="A570" s="226"/>
      <c r="B570" s="250" t="s">
        <v>709</v>
      </c>
      <c r="C570" s="251"/>
      <c r="D570" s="245"/>
      <c r="E570" s="252"/>
      <c r="F570" s="253"/>
      <c r="G570" s="254"/>
      <c r="H570" s="255"/>
    </row>
    <row r="571" spans="1:8" ht="12.75">
      <c r="A571" s="226"/>
      <c r="B571" s="256"/>
      <c r="C571" s="257"/>
      <c r="D571" s="258" t="s">
        <v>710</v>
      </c>
      <c r="E571" s="258"/>
      <c r="F571" s="258"/>
      <c r="G571" s="258"/>
      <c r="H571" s="259">
        <f>SUM(H566:H568)</f>
        <v>2462.8999999999996</v>
      </c>
    </row>
    <row r="572" ht="12.75">
      <c r="A572" s="226"/>
    </row>
    <row r="573" ht="12.75">
      <c r="A573" s="226"/>
    </row>
    <row r="574" spans="1:8" ht="150" customHeight="1">
      <c r="A574" s="226"/>
      <c r="B574" s="227" t="s">
        <v>106</v>
      </c>
      <c r="C574" s="228"/>
      <c r="D574" s="229" t="s">
        <v>931</v>
      </c>
      <c r="E574" s="229"/>
      <c r="F574" s="229"/>
      <c r="G574" s="229"/>
      <c r="H574" s="230" t="s">
        <v>86</v>
      </c>
    </row>
    <row r="575" spans="1:8" ht="12.75">
      <c r="A575" s="226"/>
      <c r="B575" s="231" t="s">
        <v>700</v>
      </c>
      <c r="C575" s="232" t="s">
        <v>701</v>
      </c>
      <c r="D575" s="232" t="s">
        <v>702</v>
      </c>
      <c r="E575" s="233" t="s">
        <v>703</v>
      </c>
      <c r="F575" s="234" t="s">
        <v>704</v>
      </c>
      <c r="G575" s="232" t="s">
        <v>705</v>
      </c>
      <c r="H575" s="235" t="s">
        <v>706</v>
      </c>
    </row>
    <row r="576" spans="1:8" ht="25.5">
      <c r="A576" s="226"/>
      <c r="B576" s="236" t="s">
        <v>56</v>
      </c>
      <c r="C576" s="237" t="s">
        <v>932</v>
      </c>
      <c r="D576" s="238" t="s">
        <v>933</v>
      </c>
      <c r="E576" s="239" t="s">
        <v>887</v>
      </c>
      <c r="F576" s="240">
        <v>1</v>
      </c>
      <c r="G576" s="241">
        <v>1283.38</v>
      </c>
      <c r="H576" s="242">
        <f aca="true" t="shared" si="48" ref="H576:H577">ROUND(F576*G576,2)</f>
        <v>1283.38</v>
      </c>
    </row>
    <row r="577" spans="1:8" ht="12.75">
      <c r="A577" s="226"/>
      <c r="B577" s="236"/>
      <c r="C577" s="281"/>
      <c r="D577" s="238" t="s">
        <v>890</v>
      </c>
      <c r="E577" s="239" t="s">
        <v>86</v>
      </c>
      <c r="F577" s="240">
        <v>1</v>
      </c>
      <c r="G577" s="241">
        <v>86.55</v>
      </c>
      <c r="H577" s="242">
        <f t="shared" si="48"/>
        <v>86.55</v>
      </c>
    </row>
    <row r="578" spans="1:8" ht="12.75">
      <c r="A578" s="226"/>
      <c r="B578" s="243"/>
      <c r="C578" s="244"/>
      <c r="D578" s="245"/>
      <c r="E578" s="246"/>
      <c r="F578" s="247"/>
      <c r="G578" s="248"/>
      <c r="H578" s="249"/>
    </row>
    <row r="579" spans="1:8" ht="12.75">
      <c r="A579" s="226"/>
      <c r="B579" s="250" t="s">
        <v>709</v>
      </c>
      <c r="C579" s="251"/>
      <c r="D579" s="245"/>
      <c r="E579" s="252"/>
      <c r="F579" s="253"/>
      <c r="G579" s="254"/>
      <c r="H579" s="255"/>
    </row>
    <row r="580" spans="1:8" ht="12.75">
      <c r="A580" s="226"/>
      <c r="B580" s="256"/>
      <c r="C580" s="257"/>
      <c r="D580" s="258" t="s">
        <v>710</v>
      </c>
      <c r="E580" s="258"/>
      <c r="F580" s="258"/>
      <c r="G580" s="258"/>
      <c r="H580" s="259">
        <f>SUM(H576:H577)</f>
        <v>1369.93</v>
      </c>
    </row>
    <row r="581" ht="12.75">
      <c r="A581" s="226"/>
    </row>
    <row r="582" ht="12.75">
      <c r="A582" s="226"/>
    </row>
    <row r="583" spans="1:8" ht="150" customHeight="1">
      <c r="A583" s="226"/>
      <c r="B583" s="227" t="s">
        <v>109</v>
      </c>
      <c r="C583" s="228"/>
      <c r="D583" s="229" t="s">
        <v>934</v>
      </c>
      <c r="E583" s="229"/>
      <c r="F583" s="229"/>
      <c r="G583" s="229"/>
      <c r="H583" s="230" t="s">
        <v>86</v>
      </c>
    </row>
    <row r="584" spans="1:8" ht="12.75">
      <c r="A584" s="226"/>
      <c r="B584" s="231" t="s">
        <v>700</v>
      </c>
      <c r="C584" s="232" t="s">
        <v>701</v>
      </c>
      <c r="D584" s="232" t="s">
        <v>702</v>
      </c>
      <c r="E584" s="233" t="s">
        <v>703</v>
      </c>
      <c r="F584" s="234" t="s">
        <v>704</v>
      </c>
      <c r="G584" s="232" t="s">
        <v>705</v>
      </c>
      <c r="H584" s="235" t="s">
        <v>706</v>
      </c>
    </row>
    <row r="585" spans="1:8" ht="25.5">
      <c r="A585" s="226"/>
      <c r="B585" s="236" t="s">
        <v>56</v>
      </c>
      <c r="C585" s="237" t="s">
        <v>935</v>
      </c>
      <c r="D585" s="238" t="s">
        <v>936</v>
      </c>
      <c r="E585" s="239" t="s">
        <v>887</v>
      </c>
      <c r="F585" s="240">
        <v>1</v>
      </c>
      <c r="G585" s="241">
        <v>1134.56</v>
      </c>
      <c r="H585" s="242">
        <f aca="true" t="shared" si="49" ref="H585:H586">ROUND(F585*G585,2)</f>
        <v>1134.56</v>
      </c>
    </row>
    <row r="586" spans="1:8" ht="12.75">
      <c r="A586" s="226"/>
      <c r="B586" s="236"/>
      <c r="C586" s="281"/>
      <c r="D586" s="238" t="s">
        <v>890</v>
      </c>
      <c r="E586" s="239" t="s">
        <v>86</v>
      </c>
      <c r="F586" s="240">
        <v>1</v>
      </c>
      <c r="G586" s="241">
        <v>86.55</v>
      </c>
      <c r="H586" s="242">
        <f t="shared" si="49"/>
        <v>86.55</v>
      </c>
    </row>
    <row r="587" spans="1:8" ht="12.75">
      <c r="A587" s="226"/>
      <c r="B587" s="243"/>
      <c r="C587" s="244"/>
      <c r="D587" s="245"/>
      <c r="E587" s="246"/>
      <c r="F587" s="247"/>
      <c r="G587" s="248"/>
      <c r="H587" s="249"/>
    </row>
    <row r="588" spans="1:8" ht="12.75">
      <c r="A588" s="226"/>
      <c r="B588" s="250" t="s">
        <v>709</v>
      </c>
      <c r="C588" s="251"/>
      <c r="D588" s="245"/>
      <c r="E588" s="252"/>
      <c r="F588" s="253"/>
      <c r="G588" s="254"/>
      <c r="H588" s="255"/>
    </row>
    <row r="589" spans="1:8" ht="12.75">
      <c r="A589" s="226"/>
      <c r="B589" s="256"/>
      <c r="C589" s="257"/>
      <c r="D589" s="258" t="s">
        <v>710</v>
      </c>
      <c r="E589" s="258"/>
      <c r="F589" s="258"/>
      <c r="G589" s="258"/>
      <c r="H589" s="259">
        <f>SUM(H585:H586)</f>
        <v>1221.11</v>
      </c>
    </row>
    <row r="590" ht="12.75">
      <c r="A590" s="226"/>
    </row>
    <row r="591" ht="12.75">
      <c r="A591" s="226"/>
    </row>
    <row r="592" spans="1:8" ht="165" customHeight="1">
      <c r="A592" s="226"/>
      <c r="B592" s="227" t="s">
        <v>115</v>
      </c>
      <c r="C592" s="228"/>
      <c r="D592" s="229" t="s">
        <v>937</v>
      </c>
      <c r="E592" s="229"/>
      <c r="F592" s="229"/>
      <c r="G592" s="229"/>
      <c r="H592" s="230" t="s">
        <v>86</v>
      </c>
    </row>
    <row r="593" spans="1:8" ht="12.75">
      <c r="A593" s="226"/>
      <c r="B593" s="231" t="s">
        <v>700</v>
      </c>
      <c r="C593" s="232" t="s">
        <v>701</v>
      </c>
      <c r="D593" s="232" t="s">
        <v>702</v>
      </c>
      <c r="E593" s="233" t="s">
        <v>703</v>
      </c>
      <c r="F593" s="234" t="s">
        <v>704</v>
      </c>
      <c r="G593" s="232" t="s">
        <v>705</v>
      </c>
      <c r="H593" s="235" t="s">
        <v>706</v>
      </c>
    </row>
    <row r="594" spans="1:8" ht="25.5">
      <c r="A594" s="226"/>
      <c r="B594" s="236" t="s">
        <v>125</v>
      </c>
      <c r="C594" s="237">
        <v>100305</v>
      </c>
      <c r="D594" s="238" t="s">
        <v>938</v>
      </c>
      <c r="E594" s="239" t="s">
        <v>713</v>
      </c>
      <c r="F594" s="240">
        <v>24</v>
      </c>
      <c r="G594" s="241">
        <v>90.63</v>
      </c>
      <c r="H594" s="242">
        <f aca="true" t="shared" si="50" ref="H594:H595">ROUND(F594*G594,2)</f>
        <v>2175.12</v>
      </c>
    </row>
    <row r="595" spans="1:8" ht="12.75">
      <c r="A595" s="226"/>
      <c r="B595" s="236"/>
      <c r="C595" s="281"/>
      <c r="D595" s="238" t="s">
        <v>890</v>
      </c>
      <c r="E595" s="239" t="s">
        <v>86</v>
      </c>
      <c r="F595" s="240">
        <v>1</v>
      </c>
      <c r="G595" s="241">
        <v>86.55</v>
      </c>
      <c r="H595" s="242">
        <f t="shared" si="50"/>
        <v>86.55</v>
      </c>
    </row>
    <row r="596" spans="1:8" ht="12.75">
      <c r="A596" s="226"/>
      <c r="B596" s="243"/>
      <c r="C596" s="244"/>
      <c r="D596" s="245"/>
      <c r="E596" s="246"/>
      <c r="F596" s="247"/>
      <c r="G596" s="248"/>
      <c r="H596" s="249"/>
    </row>
    <row r="597" spans="1:8" ht="12.75">
      <c r="A597" s="226"/>
      <c r="B597" s="250" t="s">
        <v>709</v>
      </c>
      <c r="C597" s="251"/>
      <c r="D597" s="245"/>
      <c r="E597" s="252"/>
      <c r="F597" s="253"/>
      <c r="G597" s="254"/>
      <c r="H597" s="255"/>
    </row>
    <row r="598" spans="1:8" ht="12.75">
      <c r="A598" s="226"/>
      <c r="B598" s="256"/>
      <c r="C598" s="257"/>
      <c r="D598" s="258" t="s">
        <v>710</v>
      </c>
      <c r="E598" s="258"/>
      <c r="F598" s="258"/>
      <c r="G598" s="258"/>
      <c r="H598" s="259">
        <f>SUM(H594:H595)</f>
        <v>2261.67</v>
      </c>
    </row>
    <row r="599" ht="12.75">
      <c r="A599" s="226"/>
    </row>
    <row r="600" ht="12.75">
      <c r="A600" s="226"/>
    </row>
    <row r="601" spans="1:8" ht="30" customHeight="1">
      <c r="A601" s="226"/>
      <c r="B601" s="227" t="s">
        <v>160</v>
      </c>
      <c r="C601" s="228"/>
      <c r="D601" s="229" t="s">
        <v>939</v>
      </c>
      <c r="E601" s="229"/>
      <c r="F601" s="229"/>
      <c r="G601" s="229"/>
      <c r="H601" s="230" t="s">
        <v>142</v>
      </c>
    </row>
    <row r="602" spans="1:8" ht="12.75">
      <c r="A602" s="226"/>
      <c r="B602" s="231" t="s">
        <v>700</v>
      </c>
      <c r="C602" s="232" t="s">
        <v>701</v>
      </c>
      <c r="D602" s="232" t="s">
        <v>702</v>
      </c>
      <c r="E602" s="233" t="s">
        <v>703</v>
      </c>
      <c r="F602" s="234" t="s">
        <v>704</v>
      </c>
      <c r="G602" s="232" t="s">
        <v>705</v>
      </c>
      <c r="H602" s="235" t="s">
        <v>706</v>
      </c>
    </row>
    <row r="603" spans="1:8" ht="76.5">
      <c r="A603" s="226"/>
      <c r="B603" s="236" t="s">
        <v>125</v>
      </c>
      <c r="C603" s="237">
        <v>5901</v>
      </c>
      <c r="D603" s="238" t="s">
        <v>940</v>
      </c>
      <c r="E603" s="239" t="s">
        <v>715</v>
      </c>
      <c r="F603" s="240">
        <v>0.02353</v>
      </c>
      <c r="G603" s="241">
        <v>306.75</v>
      </c>
      <c r="H603" s="242">
        <f aca="true" t="shared" si="51" ref="H603:H611">ROUND(F603*G603,2)</f>
        <v>7.22</v>
      </c>
    </row>
    <row r="604" spans="1:8" ht="76.5">
      <c r="A604" s="226"/>
      <c r="B604" s="236" t="s">
        <v>125</v>
      </c>
      <c r="C604" s="237">
        <v>5903</v>
      </c>
      <c r="D604" s="238" t="s">
        <v>941</v>
      </c>
      <c r="E604" s="239" t="s">
        <v>717</v>
      </c>
      <c r="F604" s="240">
        <v>0.00588</v>
      </c>
      <c r="G604" s="241">
        <v>56.11</v>
      </c>
      <c r="H604" s="242">
        <f t="shared" si="51"/>
        <v>0.33</v>
      </c>
    </row>
    <row r="605" spans="1:8" ht="76.5">
      <c r="A605" s="226"/>
      <c r="B605" s="236" t="s">
        <v>125</v>
      </c>
      <c r="C605" s="237">
        <v>5684</v>
      </c>
      <c r="D605" s="238" t="s">
        <v>942</v>
      </c>
      <c r="E605" s="239" t="s">
        <v>715</v>
      </c>
      <c r="F605" s="240">
        <v>0.02941</v>
      </c>
      <c r="G605" s="241">
        <v>146.61</v>
      </c>
      <c r="H605" s="242">
        <f t="shared" si="51"/>
        <v>4.31</v>
      </c>
    </row>
    <row r="606" spans="1:8" ht="63.75">
      <c r="A606" s="226"/>
      <c r="B606" s="236" t="s">
        <v>125</v>
      </c>
      <c r="C606" s="237">
        <v>6879</v>
      </c>
      <c r="D606" s="238" t="s">
        <v>943</v>
      </c>
      <c r="E606" s="239" t="s">
        <v>715</v>
      </c>
      <c r="F606" s="240">
        <v>0.02941</v>
      </c>
      <c r="G606" s="241">
        <v>190.3</v>
      </c>
      <c r="H606" s="242">
        <f t="shared" si="51"/>
        <v>5.6</v>
      </c>
    </row>
    <row r="607" spans="1:8" ht="51">
      <c r="A607" s="226"/>
      <c r="B607" s="236" t="s">
        <v>125</v>
      </c>
      <c r="C607" s="237">
        <v>5932</v>
      </c>
      <c r="D607" s="238" t="s">
        <v>944</v>
      </c>
      <c r="E607" s="239" t="s">
        <v>715</v>
      </c>
      <c r="F607" s="240">
        <v>0.01765</v>
      </c>
      <c r="G607" s="241">
        <v>254.84</v>
      </c>
      <c r="H607" s="242">
        <f t="shared" si="51"/>
        <v>4.5</v>
      </c>
    </row>
    <row r="608" spans="1:8" ht="51">
      <c r="A608" s="226"/>
      <c r="B608" s="236" t="s">
        <v>125</v>
      </c>
      <c r="C608" s="237">
        <v>5934</v>
      </c>
      <c r="D608" s="238" t="s">
        <v>945</v>
      </c>
      <c r="E608" s="239" t="s">
        <v>717</v>
      </c>
      <c r="F608" s="240">
        <v>0.01176</v>
      </c>
      <c r="G608" s="241">
        <v>87.3</v>
      </c>
      <c r="H608" s="242">
        <f t="shared" si="51"/>
        <v>1.03</v>
      </c>
    </row>
    <row r="609" spans="1:8" ht="25.5">
      <c r="A609" s="226"/>
      <c r="B609" s="236" t="s">
        <v>125</v>
      </c>
      <c r="C609" s="237">
        <v>88316</v>
      </c>
      <c r="D609" s="238" t="s">
        <v>712</v>
      </c>
      <c r="E609" s="239" t="s">
        <v>713</v>
      </c>
      <c r="F609" s="240">
        <v>0.08824</v>
      </c>
      <c r="G609" s="241">
        <v>16.21</v>
      </c>
      <c r="H609" s="242">
        <f t="shared" si="51"/>
        <v>1.43</v>
      </c>
    </row>
    <row r="610" spans="1:10" ht="38.25">
      <c r="A610" s="226"/>
      <c r="B610" s="236" t="s">
        <v>727</v>
      </c>
      <c r="C610" s="237">
        <v>4748</v>
      </c>
      <c r="D610" s="238" t="s">
        <v>946</v>
      </c>
      <c r="E610" s="239" t="s">
        <v>729</v>
      </c>
      <c r="F610" s="240">
        <v>1.3</v>
      </c>
      <c r="G610" s="241">
        <v>102.93</v>
      </c>
      <c r="H610" s="242">
        <f t="shared" si="51"/>
        <v>133.81</v>
      </c>
      <c r="J610" s="284"/>
    </row>
    <row r="611" spans="1:10" ht="51">
      <c r="A611" s="226"/>
      <c r="B611" s="236" t="s">
        <v>125</v>
      </c>
      <c r="C611" s="237">
        <v>95877</v>
      </c>
      <c r="D611" s="238" t="s">
        <v>947</v>
      </c>
      <c r="E611" s="239" t="s">
        <v>719</v>
      </c>
      <c r="F611" s="240">
        <v>13</v>
      </c>
      <c r="G611" s="241">
        <v>1.76</v>
      </c>
      <c r="H611" s="242">
        <f t="shared" si="51"/>
        <v>22.88</v>
      </c>
      <c r="J611" s="284"/>
    </row>
    <row r="612" spans="1:8" ht="12.75">
      <c r="A612" s="226"/>
      <c r="B612" s="243"/>
      <c r="C612" s="244"/>
      <c r="D612" s="245"/>
      <c r="E612" s="246"/>
      <c r="F612" s="247"/>
      <c r="G612" s="248"/>
      <c r="H612" s="249"/>
    </row>
    <row r="613" spans="1:8" ht="12.75">
      <c r="A613" s="226"/>
      <c r="B613" s="250" t="s">
        <v>709</v>
      </c>
      <c r="C613" s="251"/>
      <c r="D613" s="245"/>
      <c r="E613" s="252"/>
      <c r="F613" s="253"/>
      <c r="G613" s="254"/>
      <c r="H613" s="255"/>
    </row>
    <row r="614" spans="1:8" ht="25.5">
      <c r="A614" s="226"/>
      <c r="B614" s="282" t="s">
        <v>894</v>
      </c>
      <c r="C614" s="278" t="s">
        <v>948</v>
      </c>
      <c r="D614" s="267" t="s">
        <v>710</v>
      </c>
      <c r="E614" s="267"/>
      <c r="F614" s="267"/>
      <c r="G614" s="267"/>
      <c r="H614" s="268">
        <f>SUM(H603:H611)</f>
        <v>181.10999999999999</v>
      </c>
    </row>
    <row r="615" ht="12.75">
      <c r="A615" s="226"/>
    </row>
    <row r="616" ht="12.75">
      <c r="A616" s="226"/>
    </row>
    <row r="617" spans="1:8" ht="150" customHeight="1">
      <c r="A617" s="226"/>
      <c r="B617" s="227" t="s">
        <v>112</v>
      </c>
      <c r="C617" s="228"/>
      <c r="D617" s="229" t="s">
        <v>949</v>
      </c>
      <c r="E617" s="229"/>
      <c r="F617" s="229"/>
      <c r="G617" s="229"/>
      <c r="H617" s="230" t="s">
        <v>86</v>
      </c>
    </row>
    <row r="618" spans="1:8" ht="12.75">
      <c r="A618" s="226"/>
      <c r="B618" s="231" t="s">
        <v>700</v>
      </c>
      <c r="C618" s="232" t="s">
        <v>701</v>
      </c>
      <c r="D618" s="232" t="s">
        <v>702</v>
      </c>
      <c r="E618" s="233" t="s">
        <v>703</v>
      </c>
      <c r="F618" s="234" t="s">
        <v>704</v>
      </c>
      <c r="G618" s="232" t="s">
        <v>705</v>
      </c>
      <c r="H618" s="235" t="s">
        <v>706</v>
      </c>
    </row>
    <row r="619" spans="1:8" ht="25.5">
      <c r="A619" s="226"/>
      <c r="B619" s="236" t="s">
        <v>56</v>
      </c>
      <c r="C619" s="237" t="s">
        <v>950</v>
      </c>
      <c r="D619" s="238" t="s">
        <v>951</v>
      </c>
      <c r="E619" s="239" t="s">
        <v>887</v>
      </c>
      <c r="F619" s="240">
        <v>1</v>
      </c>
      <c r="G619" s="241">
        <v>1157.27</v>
      </c>
      <c r="H619" s="242">
        <f aca="true" t="shared" si="52" ref="H619:H620">ROUND(F619*G619,2)</f>
        <v>1157.27</v>
      </c>
    </row>
    <row r="620" spans="1:8" ht="12.75">
      <c r="A620" s="226"/>
      <c r="B620" s="236"/>
      <c r="C620" s="281"/>
      <c r="D620" s="238" t="s">
        <v>890</v>
      </c>
      <c r="E620" s="239" t="s">
        <v>86</v>
      </c>
      <c r="F620" s="240">
        <v>1</v>
      </c>
      <c r="G620" s="241">
        <v>86.55</v>
      </c>
      <c r="H620" s="242">
        <f t="shared" si="52"/>
        <v>86.55</v>
      </c>
    </row>
    <row r="621" spans="1:8" ht="12.75">
      <c r="A621" s="226"/>
      <c r="B621" s="243"/>
      <c r="C621" s="244"/>
      <c r="D621" s="245"/>
      <c r="E621" s="246"/>
      <c r="F621" s="247"/>
      <c r="G621" s="248"/>
      <c r="H621" s="249"/>
    </row>
    <row r="622" spans="1:8" ht="12.75">
      <c r="A622" s="226"/>
      <c r="B622" s="250" t="s">
        <v>709</v>
      </c>
      <c r="C622" s="251"/>
      <c r="D622" s="245"/>
      <c r="E622" s="252"/>
      <c r="F622" s="253"/>
      <c r="G622" s="254"/>
      <c r="H622" s="255"/>
    </row>
    <row r="623" spans="1:8" ht="12.75">
      <c r="A623" s="226"/>
      <c r="B623" s="256"/>
      <c r="C623" s="257"/>
      <c r="D623" s="258" t="s">
        <v>710</v>
      </c>
      <c r="E623" s="258"/>
      <c r="F623" s="258"/>
      <c r="G623" s="258"/>
      <c r="H623" s="259">
        <f>SUM(H619:H620)</f>
        <v>1243.82</v>
      </c>
    </row>
    <row r="624" ht="12.75">
      <c r="A624" s="226"/>
    </row>
    <row r="625" ht="12.75">
      <c r="A625" s="226"/>
    </row>
    <row r="626" spans="1:8" ht="30" customHeight="1">
      <c r="A626" s="226"/>
      <c r="B626" s="227" t="s">
        <v>134</v>
      </c>
      <c r="C626" s="228"/>
      <c r="D626" s="229" t="s">
        <v>952</v>
      </c>
      <c r="E626" s="229"/>
      <c r="F626" s="229"/>
      <c r="G626" s="229"/>
      <c r="H626" s="230" t="s">
        <v>129</v>
      </c>
    </row>
    <row r="627" spans="1:8" ht="12.75">
      <c r="A627" s="226"/>
      <c r="B627" s="231" t="s">
        <v>700</v>
      </c>
      <c r="C627" s="232" t="s">
        <v>701</v>
      </c>
      <c r="D627" s="232" t="s">
        <v>702</v>
      </c>
      <c r="E627" s="233" t="s">
        <v>703</v>
      </c>
      <c r="F627" s="234" t="s">
        <v>704</v>
      </c>
      <c r="G627" s="232" t="s">
        <v>705</v>
      </c>
      <c r="H627" s="235" t="s">
        <v>706</v>
      </c>
    </row>
    <row r="628" spans="1:8" ht="25.5">
      <c r="A628" s="226"/>
      <c r="B628" s="236" t="s">
        <v>125</v>
      </c>
      <c r="C628" s="237">
        <v>88316</v>
      </c>
      <c r="D628" s="238" t="s">
        <v>712</v>
      </c>
      <c r="E628" s="239" t="s">
        <v>713</v>
      </c>
      <c r="F628" s="240">
        <v>8</v>
      </c>
      <c r="G628" s="241">
        <v>16.21</v>
      </c>
      <c r="H628" s="242">
        <f>ROUND(F628*G628,2)</f>
        <v>129.68</v>
      </c>
    </row>
    <row r="629" spans="1:8" ht="12.75">
      <c r="A629" s="226"/>
      <c r="B629" s="243"/>
      <c r="C629" s="244"/>
      <c r="D629" s="245"/>
      <c r="E629" s="246"/>
      <c r="F629" s="247"/>
      <c r="G629" s="248"/>
      <c r="H629" s="249"/>
    </row>
    <row r="630" spans="1:8" ht="12.75">
      <c r="A630" s="226"/>
      <c r="B630" s="250" t="s">
        <v>709</v>
      </c>
      <c r="C630" s="251"/>
      <c r="D630" s="245"/>
      <c r="E630" s="252"/>
      <c r="F630" s="253"/>
      <c r="G630" s="254"/>
      <c r="H630" s="255"/>
    </row>
    <row r="631" spans="1:8" ht="12.75">
      <c r="A631" s="226"/>
      <c r="B631" s="256"/>
      <c r="C631" s="257"/>
      <c r="D631" s="258" t="s">
        <v>710</v>
      </c>
      <c r="E631" s="258"/>
      <c r="F631" s="258"/>
      <c r="G631" s="258"/>
      <c r="H631" s="259">
        <f>SUM(H628:H628)</f>
        <v>129.68</v>
      </c>
    </row>
    <row r="632" ht="12.75">
      <c r="A632" s="226"/>
    </row>
    <row r="633" ht="12.75">
      <c r="A633" s="226"/>
    </row>
    <row r="634" spans="1:8" ht="30" customHeight="1">
      <c r="A634" s="226"/>
      <c r="B634" s="227" t="s">
        <v>265</v>
      </c>
      <c r="C634" s="228"/>
      <c r="D634" s="229" t="s">
        <v>953</v>
      </c>
      <c r="E634" s="229"/>
      <c r="F634" s="229"/>
      <c r="G634" s="229"/>
      <c r="H634" s="230" t="s">
        <v>86</v>
      </c>
    </row>
    <row r="635" spans="1:8" ht="12.75">
      <c r="A635" s="226"/>
      <c r="B635" s="231" t="s">
        <v>700</v>
      </c>
      <c r="C635" s="232" t="s">
        <v>701</v>
      </c>
      <c r="D635" s="232" t="s">
        <v>702</v>
      </c>
      <c r="E635" s="233" t="s">
        <v>703</v>
      </c>
      <c r="F635" s="234" t="s">
        <v>704</v>
      </c>
      <c r="G635" s="232" t="s">
        <v>705</v>
      </c>
      <c r="H635" s="235" t="s">
        <v>706</v>
      </c>
    </row>
    <row r="636" spans="1:8" ht="38.25">
      <c r="A636" s="226"/>
      <c r="B636" s="236" t="s">
        <v>125</v>
      </c>
      <c r="C636" s="237">
        <v>98531</v>
      </c>
      <c r="D636" s="238" t="s">
        <v>954</v>
      </c>
      <c r="E636" s="239" t="s">
        <v>330</v>
      </c>
      <c r="F636" s="240">
        <v>1</v>
      </c>
      <c r="G636" s="241">
        <v>242.57</v>
      </c>
      <c r="H636" s="242">
        <f aca="true" t="shared" si="53" ref="H636:H637">ROUND(F636*G636,2)</f>
        <v>242.57</v>
      </c>
    </row>
    <row r="637" spans="1:8" ht="38.25">
      <c r="A637" s="226"/>
      <c r="B637" s="236" t="s">
        <v>125</v>
      </c>
      <c r="C637" s="237">
        <v>98528</v>
      </c>
      <c r="D637" s="238" t="s">
        <v>955</v>
      </c>
      <c r="E637" s="239" t="s">
        <v>330</v>
      </c>
      <c r="F637" s="240">
        <v>1</v>
      </c>
      <c r="G637" s="241">
        <v>243.6</v>
      </c>
      <c r="H637" s="242">
        <f t="shared" si="53"/>
        <v>243.6</v>
      </c>
    </row>
    <row r="638" spans="1:8" ht="12.75">
      <c r="A638" s="226"/>
      <c r="B638" s="243"/>
      <c r="C638" s="244"/>
      <c r="D638" s="245"/>
      <c r="E638" s="246"/>
      <c r="F638" s="247"/>
      <c r="G638" s="248"/>
      <c r="H638" s="249"/>
    </row>
    <row r="639" spans="1:8" ht="12.75">
      <c r="A639" s="226"/>
      <c r="B639" s="250" t="s">
        <v>709</v>
      </c>
      <c r="C639" s="251"/>
      <c r="D639" s="245"/>
      <c r="E639" s="252"/>
      <c r="F639" s="253"/>
      <c r="G639" s="254"/>
      <c r="H639" s="255"/>
    </row>
    <row r="640" spans="1:8" ht="12.75">
      <c r="A640" s="226"/>
      <c r="B640" s="256"/>
      <c r="C640" s="257"/>
      <c r="D640" s="258" t="s">
        <v>710</v>
      </c>
      <c r="E640" s="258"/>
      <c r="F640" s="258"/>
      <c r="G640" s="258"/>
      <c r="H640" s="259">
        <f>SUM(H636:H637)</f>
        <v>486.16999999999996</v>
      </c>
    </row>
    <row r="641" ht="12.75">
      <c r="A641" s="226"/>
    </row>
    <row r="642" ht="12.75">
      <c r="A642" s="226"/>
    </row>
    <row r="643" spans="1:8" ht="60" customHeight="1">
      <c r="A643" s="226"/>
      <c r="B643" s="227" t="s">
        <v>664</v>
      </c>
      <c r="C643" s="228"/>
      <c r="D643" s="229" t="s">
        <v>956</v>
      </c>
      <c r="E643" s="229"/>
      <c r="F643" s="229"/>
      <c r="G643" s="229"/>
      <c r="H643" s="230" t="s">
        <v>55</v>
      </c>
    </row>
    <row r="644" spans="1:8" ht="12.75">
      <c r="A644" s="226"/>
      <c r="B644" s="231" t="s">
        <v>700</v>
      </c>
      <c r="C644" s="232" t="s">
        <v>701</v>
      </c>
      <c r="D644" s="232" t="s">
        <v>702</v>
      </c>
      <c r="E644" s="233" t="s">
        <v>703</v>
      </c>
      <c r="F644" s="234" t="s">
        <v>704</v>
      </c>
      <c r="G644" s="232" t="s">
        <v>705</v>
      </c>
      <c r="H644" s="235" t="s">
        <v>706</v>
      </c>
    </row>
    <row r="645" spans="1:8" ht="25.5">
      <c r="A645" s="226"/>
      <c r="B645" s="236" t="s">
        <v>125</v>
      </c>
      <c r="C645" s="237">
        <v>88260</v>
      </c>
      <c r="D645" s="238" t="s">
        <v>957</v>
      </c>
      <c r="E645" s="239" t="s">
        <v>713</v>
      </c>
      <c r="F645" s="240">
        <v>0.1595</v>
      </c>
      <c r="G645" s="241">
        <v>17.27</v>
      </c>
      <c r="H645" s="242">
        <f aca="true" t="shared" si="54" ref="H645:H652">ROUND(F645*G645,2)</f>
        <v>2.75</v>
      </c>
    </row>
    <row r="646" spans="1:8" ht="25.5">
      <c r="A646" s="226"/>
      <c r="B646" s="236" t="s">
        <v>125</v>
      </c>
      <c r="C646" s="237">
        <v>88316</v>
      </c>
      <c r="D646" s="238" t="s">
        <v>712</v>
      </c>
      <c r="E646" s="239" t="s">
        <v>713</v>
      </c>
      <c r="F646" s="240">
        <v>0.1595</v>
      </c>
      <c r="G646" s="241">
        <v>16.21</v>
      </c>
      <c r="H646" s="242">
        <f t="shared" si="54"/>
        <v>2.59</v>
      </c>
    </row>
    <row r="647" spans="1:8" ht="63.75">
      <c r="A647" s="226"/>
      <c r="B647" s="236" t="s">
        <v>125</v>
      </c>
      <c r="C647" s="237">
        <v>91277</v>
      </c>
      <c r="D647" s="238" t="s">
        <v>724</v>
      </c>
      <c r="E647" s="239" t="s">
        <v>715</v>
      </c>
      <c r="F647" s="240">
        <v>0.0041</v>
      </c>
      <c r="G647" s="241">
        <v>7.89</v>
      </c>
      <c r="H647" s="242">
        <f t="shared" si="54"/>
        <v>0.03</v>
      </c>
    </row>
    <row r="648" spans="1:8" ht="51">
      <c r="A648" s="226"/>
      <c r="B648" s="236" t="s">
        <v>125</v>
      </c>
      <c r="C648" s="237">
        <v>91278</v>
      </c>
      <c r="D648" s="238" t="s">
        <v>725</v>
      </c>
      <c r="E648" s="239" t="s">
        <v>717</v>
      </c>
      <c r="F648" s="240">
        <v>0.0757</v>
      </c>
      <c r="G648" s="241">
        <v>0.46</v>
      </c>
      <c r="H648" s="242">
        <f t="shared" si="54"/>
        <v>0.03</v>
      </c>
    </row>
    <row r="649" spans="1:8" ht="76.5">
      <c r="A649" s="226"/>
      <c r="B649" s="236" t="s">
        <v>125</v>
      </c>
      <c r="C649" s="237">
        <v>91283</v>
      </c>
      <c r="D649" s="238" t="s">
        <v>958</v>
      </c>
      <c r="E649" s="239" t="s">
        <v>715</v>
      </c>
      <c r="F649" s="240">
        <v>0.0037</v>
      </c>
      <c r="G649" s="241">
        <v>8.63</v>
      </c>
      <c r="H649" s="242">
        <f t="shared" si="54"/>
        <v>0.03</v>
      </c>
    </row>
    <row r="650" spans="1:8" ht="76.5">
      <c r="A650" s="226"/>
      <c r="B650" s="236" t="s">
        <v>125</v>
      </c>
      <c r="C650" s="237">
        <v>91285</v>
      </c>
      <c r="D650" s="238" t="s">
        <v>959</v>
      </c>
      <c r="E650" s="239" t="s">
        <v>717</v>
      </c>
      <c r="F650" s="240">
        <v>0.076</v>
      </c>
      <c r="G650" s="241">
        <v>0.78</v>
      </c>
      <c r="H650" s="242">
        <f t="shared" si="54"/>
        <v>0.06</v>
      </c>
    </row>
    <row r="651" spans="1:8" ht="38.25">
      <c r="A651" s="226"/>
      <c r="B651" s="236" t="s">
        <v>727</v>
      </c>
      <c r="C651" s="237">
        <v>370</v>
      </c>
      <c r="D651" s="238" t="s">
        <v>960</v>
      </c>
      <c r="E651" s="239" t="s">
        <v>729</v>
      </c>
      <c r="F651" s="240">
        <v>0.0568</v>
      </c>
      <c r="G651" s="241">
        <v>100</v>
      </c>
      <c r="H651" s="242">
        <f t="shared" si="54"/>
        <v>5.68</v>
      </c>
    </row>
    <row r="652" spans="1:8" ht="25.5">
      <c r="A652" s="226"/>
      <c r="B652" s="236" t="s">
        <v>727</v>
      </c>
      <c r="C652" s="237">
        <v>4741</v>
      </c>
      <c r="D652" s="238" t="s">
        <v>961</v>
      </c>
      <c r="E652" s="239" t="s">
        <v>729</v>
      </c>
      <c r="F652" s="240">
        <v>0.0065</v>
      </c>
      <c r="G652" s="241">
        <v>105.27</v>
      </c>
      <c r="H652" s="242">
        <f t="shared" si="54"/>
        <v>0.68</v>
      </c>
    </row>
    <row r="653" spans="1:8" ht="12.75">
      <c r="A653" s="226"/>
      <c r="B653" s="243"/>
      <c r="C653" s="244"/>
      <c r="D653" s="245"/>
      <c r="E653" s="246"/>
      <c r="F653" s="247"/>
      <c r="G653" s="248"/>
      <c r="H653" s="249"/>
    </row>
    <row r="654" spans="1:8" ht="12.75">
      <c r="A654" s="226"/>
      <c r="B654" s="250" t="s">
        <v>709</v>
      </c>
      <c r="C654" s="251"/>
      <c r="D654" s="245"/>
      <c r="E654" s="252"/>
      <c r="F654" s="253"/>
      <c r="G654" s="254"/>
      <c r="H654" s="255"/>
    </row>
    <row r="655" spans="1:8" ht="12.75">
      <c r="A655" s="226"/>
      <c r="B655" s="272" t="s">
        <v>915</v>
      </c>
      <c r="C655" s="257" t="s">
        <v>962</v>
      </c>
      <c r="D655" s="258" t="s">
        <v>710</v>
      </c>
      <c r="E655" s="258"/>
      <c r="F655" s="258"/>
      <c r="G655" s="258"/>
      <c r="H655" s="259">
        <f>SUM(H645:H652)</f>
        <v>11.849999999999998</v>
      </c>
    </row>
    <row r="656" ht="12.75">
      <c r="A656" s="226"/>
    </row>
    <row r="657" ht="12.75">
      <c r="A657" s="226"/>
    </row>
    <row r="658" spans="1:8" ht="12.75" customHeight="1">
      <c r="A658" s="226"/>
      <c r="B658" s="227" t="s">
        <v>286</v>
      </c>
      <c r="C658" s="228"/>
      <c r="D658" s="229" t="s">
        <v>963</v>
      </c>
      <c r="E658" s="229"/>
      <c r="F658" s="229"/>
      <c r="G658" s="229"/>
      <c r="H658" s="230" t="s">
        <v>129</v>
      </c>
    </row>
    <row r="659" spans="1:8" ht="12.75">
      <c r="A659" s="226"/>
      <c r="B659" s="231" t="s">
        <v>700</v>
      </c>
      <c r="C659" s="232" t="s">
        <v>701</v>
      </c>
      <c r="D659" s="232" t="s">
        <v>702</v>
      </c>
      <c r="E659" s="233" t="s">
        <v>703</v>
      </c>
      <c r="F659" s="234" t="s">
        <v>704</v>
      </c>
      <c r="G659" s="232" t="s">
        <v>705</v>
      </c>
      <c r="H659" s="235" t="s">
        <v>706</v>
      </c>
    </row>
    <row r="660" spans="1:8" ht="25.5">
      <c r="A660" s="226"/>
      <c r="B660" s="236" t="s">
        <v>125</v>
      </c>
      <c r="C660" s="237">
        <v>88309</v>
      </c>
      <c r="D660" s="238" t="s">
        <v>752</v>
      </c>
      <c r="E660" s="239" t="s">
        <v>713</v>
      </c>
      <c r="F660" s="240">
        <v>4</v>
      </c>
      <c r="G660" s="241">
        <v>22.37</v>
      </c>
      <c r="H660" s="242">
        <f aca="true" t="shared" si="55" ref="H660:H661">ROUND(F660*G660,2)</f>
        <v>89.48</v>
      </c>
    </row>
    <row r="661" spans="1:8" ht="25.5">
      <c r="A661" s="226"/>
      <c r="B661" s="236" t="s">
        <v>125</v>
      </c>
      <c r="C661" s="237">
        <v>88316</v>
      </c>
      <c r="D661" s="238" t="s">
        <v>712</v>
      </c>
      <c r="E661" s="239" t="s">
        <v>713</v>
      </c>
      <c r="F661" s="240">
        <v>4</v>
      </c>
      <c r="G661" s="241">
        <v>16.21</v>
      </c>
      <c r="H661" s="242">
        <f t="shared" si="55"/>
        <v>64.84</v>
      </c>
    </row>
    <row r="662" spans="1:8" ht="12.75">
      <c r="A662" s="226"/>
      <c r="B662" s="243"/>
      <c r="C662" s="244"/>
      <c r="D662" s="245"/>
      <c r="E662" s="246"/>
      <c r="F662" s="247"/>
      <c r="G662" s="248"/>
      <c r="H662" s="249"/>
    </row>
    <row r="663" spans="1:8" ht="12.75">
      <c r="A663" s="226"/>
      <c r="B663" s="250" t="s">
        <v>709</v>
      </c>
      <c r="C663" s="251"/>
      <c r="D663" s="245"/>
      <c r="E663" s="252"/>
      <c r="F663" s="253"/>
      <c r="G663" s="254"/>
      <c r="H663" s="255"/>
    </row>
    <row r="664" spans="1:8" ht="12.75">
      <c r="A664" s="226"/>
      <c r="B664" s="256"/>
      <c r="C664" s="257"/>
      <c r="D664" s="258" t="s">
        <v>710</v>
      </c>
      <c r="E664" s="258"/>
      <c r="F664" s="258"/>
      <c r="G664" s="258"/>
      <c r="H664" s="259">
        <f>SUM(H660:H661)</f>
        <v>154.32</v>
      </c>
    </row>
    <row r="665" ht="12.75">
      <c r="A665" s="226"/>
    </row>
    <row r="666" ht="12.75">
      <c r="A666" s="226"/>
    </row>
    <row r="667" spans="1:8" ht="45" customHeight="1">
      <c r="A667" s="226"/>
      <c r="B667" s="227" t="s">
        <v>289</v>
      </c>
      <c r="C667" s="228"/>
      <c r="D667" s="229" t="s">
        <v>964</v>
      </c>
      <c r="E667" s="229"/>
      <c r="F667" s="229"/>
      <c r="G667" s="229"/>
      <c r="H667" s="230" t="s">
        <v>55</v>
      </c>
    </row>
    <row r="668" spans="1:8" ht="12.75">
      <c r="A668" s="226"/>
      <c r="B668" s="231" t="s">
        <v>700</v>
      </c>
      <c r="C668" s="232" t="s">
        <v>701</v>
      </c>
      <c r="D668" s="232" t="s">
        <v>702</v>
      </c>
      <c r="E668" s="233" t="s">
        <v>703</v>
      </c>
      <c r="F668" s="234" t="s">
        <v>704</v>
      </c>
      <c r="G668" s="232" t="s">
        <v>705</v>
      </c>
      <c r="H668" s="235" t="s">
        <v>706</v>
      </c>
    </row>
    <row r="669" spans="1:10" ht="25.5">
      <c r="A669" s="226"/>
      <c r="B669" s="236" t="s">
        <v>125</v>
      </c>
      <c r="C669" s="237">
        <v>88278</v>
      </c>
      <c r="D669" s="238" t="s">
        <v>965</v>
      </c>
      <c r="E669" s="239" t="s">
        <v>713</v>
      </c>
      <c r="F669" s="240">
        <v>0.1</v>
      </c>
      <c r="G669" s="241">
        <v>22.96</v>
      </c>
      <c r="H669" s="242">
        <f aca="true" t="shared" si="56" ref="H669:H671">ROUND(F669*G669,2)</f>
        <v>2.3</v>
      </c>
      <c r="J669" s="260"/>
    </row>
    <row r="670" spans="1:10" ht="25.5">
      <c r="A670" s="226"/>
      <c r="B670" s="236" t="s">
        <v>125</v>
      </c>
      <c r="C670" s="237">
        <v>88316</v>
      </c>
      <c r="D670" s="238" t="s">
        <v>712</v>
      </c>
      <c r="E670" s="239" t="s">
        <v>713</v>
      </c>
      <c r="F670" s="240">
        <v>0.1</v>
      </c>
      <c r="G670" s="241">
        <v>16.21</v>
      </c>
      <c r="H670" s="242">
        <f t="shared" si="56"/>
        <v>1.62</v>
      </c>
      <c r="J670" s="260"/>
    </row>
    <row r="671" spans="1:10" ht="25.5">
      <c r="A671" s="226"/>
      <c r="B671" s="236" t="s">
        <v>742</v>
      </c>
      <c r="D671" s="274" t="s">
        <v>966</v>
      </c>
      <c r="E671" s="239" t="s">
        <v>86</v>
      </c>
      <c r="F671" s="240">
        <v>0.044000000000000004</v>
      </c>
      <c r="G671" s="241">
        <v>656.6214285714286</v>
      </c>
      <c r="H671" s="242">
        <f t="shared" si="56"/>
        <v>28.89</v>
      </c>
      <c r="J671" s="260"/>
    </row>
    <row r="672" spans="1:8" ht="12.75">
      <c r="A672" s="226"/>
      <c r="B672" s="243"/>
      <c r="C672" s="244"/>
      <c r="D672" s="245"/>
      <c r="E672" s="246"/>
      <c r="F672" s="247"/>
      <c r="G672" s="248"/>
      <c r="H672" s="249"/>
    </row>
    <row r="673" spans="1:8" ht="12.75">
      <c r="A673" s="226"/>
      <c r="B673" s="250" t="s">
        <v>709</v>
      </c>
      <c r="C673" s="251"/>
      <c r="D673" s="245"/>
      <c r="E673" s="252"/>
      <c r="F673" s="253"/>
      <c r="G673" s="254"/>
      <c r="H673" s="255"/>
    </row>
    <row r="674" spans="1:8" ht="12.75">
      <c r="A674" s="226"/>
      <c r="B674" s="256"/>
      <c r="C674" s="257"/>
      <c r="D674" s="258" t="s">
        <v>710</v>
      </c>
      <c r="E674" s="258"/>
      <c r="F674" s="258"/>
      <c r="G674" s="258"/>
      <c r="H674" s="259">
        <f>SUM(H669:H671)</f>
        <v>32.81</v>
      </c>
    </row>
    <row r="675" ht="12.75">
      <c r="A675" s="226"/>
    </row>
    <row r="676" ht="12.75">
      <c r="A676" s="226"/>
    </row>
    <row r="677" spans="1:8" ht="45" customHeight="1">
      <c r="A677" s="226"/>
      <c r="B677" s="227" t="s">
        <v>603</v>
      </c>
      <c r="C677" s="228"/>
      <c r="D677" s="229" t="s">
        <v>967</v>
      </c>
      <c r="E677" s="229"/>
      <c r="F677" s="229"/>
      <c r="G677" s="229"/>
      <c r="H677" s="230" t="s">
        <v>86</v>
      </c>
    </row>
    <row r="678" spans="1:8" ht="12.75">
      <c r="A678" s="226"/>
      <c r="B678" s="231" t="s">
        <v>700</v>
      </c>
      <c r="C678" s="232" t="s">
        <v>701</v>
      </c>
      <c r="D678" s="232" t="s">
        <v>702</v>
      </c>
      <c r="E678" s="233" t="s">
        <v>703</v>
      </c>
      <c r="F678" s="234" t="s">
        <v>704</v>
      </c>
      <c r="G678" s="232" t="s">
        <v>705</v>
      </c>
      <c r="H678" s="235" t="s">
        <v>706</v>
      </c>
    </row>
    <row r="679" spans="1:8" ht="38.25">
      <c r="A679" s="226"/>
      <c r="B679" s="236" t="s">
        <v>125</v>
      </c>
      <c r="C679" s="237">
        <v>88248</v>
      </c>
      <c r="D679" s="238" t="s">
        <v>746</v>
      </c>
      <c r="E679" s="239" t="s">
        <v>713</v>
      </c>
      <c r="F679" s="240">
        <v>1.104</v>
      </c>
      <c r="G679" s="241">
        <v>17.45</v>
      </c>
      <c r="H679" s="242">
        <f aca="true" t="shared" si="57" ref="H679:H683">ROUND(F679*G679,2)</f>
        <v>19.26</v>
      </c>
    </row>
    <row r="680" spans="1:8" ht="25.5">
      <c r="A680" s="226"/>
      <c r="B680" s="236" t="s">
        <v>125</v>
      </c>
      <c r="C680" s="237">
        <v>88267</v>
      </c>
      <c r="D680" s="238" t="s">
        <v>745</v>
      </c>
      <c r="E680" s="239" t="s">
        <v>713</v>
      </c>
      <c r="F680" s="240">
        <v>1.104</v>
      </c>
      <c r="G680" s="241">
        <v>21.76</v>
      </c>
      <c r="H680" s="242">
        <f t="shared" si="57"/>
        <v>24.02</v>
      </c>
    </row>
    <row r="681" spans="1:8" ht="25.5">
      <c r="A681" s="226"/>
      <c r="B681" s="236" t="s">
        <v>727</v>
      </c>
      <c r="C681" s="237">
        <v>3148</v>
      </c>
      <c r="D681" s="238" t="s">
        <v>968</v>
      </c>
      <c r="E681" s="239" t="s">
        <v>733</v>
      </c>
      <c r="F681" s="240">
        <v>0.03</v>
      </c>
      <c r="G681" s="241">
        <v>14.12</v>
      </c>
      <c r="H681" s="242">
        <f t="shared" si="57"/>
        <v>0.42</v>
      </c>
    </row>
    <row r="682" spans="1:8" ht="25.5">
      <c r="A682" s="226"/>
      <c r="B682" s="236" t="s">
        <v>727</v>
      </c>
      <c r="C682" s="237">
        <v>7307</v>
      </c>
      <c r="D682" s="238" t="s">
        <v>969</v>
      </c>
      <c r="E682" s="239" t="s">
        <v>735</v>
      </c>
      <c r="F682" s="240">
        <v>0.07</v>
      </c>
      <c r="G682" s="241">
        <v>40.72</v>
      </c>
      <c r="H682" s="242">
        <f t="shared" si="57"/>
        <v>2.85</v>
      </c>
    </row>
    <row r="683" spans="1:8" ht="12.75">
      <c r="A683" s="226"/>
      <c r="B683" s="236" t="s">
        <v>742</v>
      </c>
      <c r="D683" s="274" t="s">
        <v>970</v>
      </c>
      <c r="E683" s="239" t="s">
        <v>86</v>
      </c>
      <c r="F683" s="240">
        <v>1</v>
      </c>
      <c r="G683" s="241">
        <v>57.43</v>
      </c>
      <c r="H683" s="242">
        <f t="shared" si="57"/>
        <v>57.43</v>
      </c>
    </row>
    <row r="684" spans="1:8" ht="12.75">
      <c r="A684" s="226"/>
      <c r="B684" s="243"/>
      <c r="C684" s="244"/>
      <c r="D684" s="245"/>
      <c r="E684" s="246"/>
      <c r="F684" s="247"/>
      <c r="G684" s="248"/>
      <c r="H684" s="249"/>
    </row>
    <row r="685" spans="1:8" ht="12.75">
      <c r="A685" s="226"/>
      <c r="B685" s="250" t="s">
        <v>709</v>
      </c>
      <c r="C685" s="251"/>
      <c r="D685" s="245"/>
      <c r="E685" s="252"/>
      <c r="F685" s="253"/>
      <c r="G685" s="254"/>
      <c r="H685" s="255"/>
    </row>
    <row r="686" spans="1:8" ht="12.75">
      <c r="A686" s="226"/>
      <c r="B686" s="272" t="s">
        <v>915</v>
      </c>
      <c r="C686" s="257" t="s">
        <v>971</v>
      </c>
      <c r="D686" s="258" t="s">
        <v>710</v>
      </c>
      <c r="E686" s="258"/>
      <c r="F686" s="258"/>
      <c r="G686" s="258"/>
      <c r="H686" s="259">
        <f>SUM(H679:H683)</f>
        <v>103.98</v>
      </c>
    </row>
    <row r="687" ht="12.75">
      <c r="A687" s="226"/>
    </row>
    <row r="688" ht="12.75">
      <c r="A688" s="226"/>
    </row>
    <row r="689" spans="1:8" ht="30" customHeight="1">
      <c r="A689" s="226"/>
      <c r="B689" s="227" t="s">
        <v>606</v>
      </c>
      <c r="C689" s="228"/>
      <c r="D689" s="229" t="s">
        <v>972</v>
      </c>
      <c r="E689" s="229"/>
      <c r="F689" s="229"/>
      <c r="G689" s="229"/>
      <c r="H689" s="230" t="s">
        <v>86</v>
      </c>
    </row>
    <row r="690" spans="1:8" ht="12.75">
      <c r="A690" s="226"/>
      <c r="B690" s="231" t="s">
        <v>700</v>
      </c>
      <c r="C690" s="232" t="s">
        <v>701</v>
      </c>
      <c r="D690" s="232" t="s">
        <v>702</v>
      </c>
      <c r="E690" s="233" t="s">
        <v>703</v>
      </c>
      <c r="F690" s="234" t="s">
        <v>704</v>
      </c>
      <c r="G690" s="232" t="s">
        <v>705</v>
      </c>
      <c r="H690" s="235" t="s">
        <v>706</v>
      </c>
    </row>
    <row r="691" spans="1:8" ht="38.25">
      <c r="A691" s="226"/>
      <c r="B691" s="236" t="s">
        <v>125</v>
      </c>
      <c r="C691" s="237">
        <v>88248</v>
      </c>
      <c r="D691" s="238" t="s">
        <v>746</v>
      </c>
      <c r="E691" s="239" t="s">
        <v>713</v>
      </c>
      <c r="F691" s="240">
        <v>0.736</v>
      </c>
      <c r="G691" s="241">
        <v>17.45</v>
      </c>
      <c r="H691" s="242">
        <f aca="true" t="shared" si="58" ref="H691:H695">ROUND(F691*G691,2)</f>
        <v>12.84</v>
      </c>
    </row>
    <row r="692" spans="1:8" ht="25.5">
      <c r="A692" s="226"/>
      <c r="B692" s="236" t="s">
        <v>125</v>
      </c>
      <c r="C692" s="237">
        <v>88267</v>
      </c>
      <c r="D692" s="238" t="s">
        <v>745</v>
      </c>
      <c r="E692" s="239" t="s">
        <v>713</v>
      </c>
      <c r="F692" s="240">
        <v>0.736</v>
      </c>
      <c r="G692" s="241">
        <v>21.76</v>
      </c>
      <c r="H692" s="242">
        <f t="shared" si="58"/>
        <v>16.02</v>
      </c>
    </row>
    <row r="693" spans="1:8" ht="25.5">
      <c r="A693" s="226"/>
      <c r="B693" s="236" t="s">
        <v>727</v>
      </c>
      <c r="C693" s="237">
        <v>3148</v>
      </c>
      <c r="D693" s="238" t="s">
        <v>968</v>
      </c>
      <c r="E693" s="239" t="s">
        <v>733</v>
      </c>
      <c r="F693" s="240">
        <v>0.03</v>
      </c>
      <c r="G693" s="241">
        <v>14.12</v>
      </c>
      <c r="H693" s="242">
        <f t="shared" si="58"/>
        <v>0.42</v>
      </c>
    </row>
    <row r="694" spans="1:8" ht="25.5">
      <c r="A694" s="226"/>
      <c r="B694" s="236" t="s">
        <v>727</v>
      </c>
      <c r="C694" s="237">
        <v>7307</v>
      </c>
      <c r="D694" s="238" t="s">
        <v>969</v>
      </c>
      <c r="E694" s="239" t="s">
        <v>735</v>
      </c>
      <c r="F694" s="240">
        <v>0.07</v>
      </c>
      <c r="G694" s="241">
        <v>40.72</v>
      </c>
      <c r="H694" s="242">
        <f t="shared" si="58"/>
        <v>2.85</v>
      </c>
    </row>
    <row r="695" spans="1:8" ht="12.75">
      <c r="A695" s="226"/>
      <c r="B695" s="236" t="s">
        <v>742</v>
      </c>
      <c r="D695" s="274" t="s">
        <v>973</v>
      </c>
      <c r="E695" s="239" t="s">
        <v>86</v>
      </c>
      <c r="F695" s="240">
        <v>1</v>
      </c>
      <c r="G695" s="241">
        <v>45.7</v>
      </c>
      <c r="H695" s="242">
        <f t="shared" si="58"/>
        <v>45.7</v>
      </c>
    </row>
    <row r="696" spans="1:8" ht="12.75">
      <c r="A696" s="226"/>
      <c r="B696" s="243"/>
      <c r="C696" s="244"/>
      <c r="D696" s="245"/>
      <c r="E696" s="246"/>
      <c r="F696" s="247"/>
      <c r="G696" s="248"/>
      <c r="H696" s="249"/>
    </row>
    <row r="697" spans="1:8" ht="12.75">
      <c r="A697" s="226"/>
      <c r="B697" s="250" t="s">
        <v>709</v>
      </c>
      <c r="C697" s="251"/>
      <c r="D697" s="245"/>
      <c r="E697" s="252"/>
      <c r="F697" s="253"/>
      <c r="G697" s="254"/>
      <c r="H697" s="255"/>
    </row>
    <row r="698" spans="1:8" ht="12.75">
      <c r="A698" s="226"/>
      <c r="B698" s="272" t="s">
        <v>915</v>
      </c>
      <c r="C698" s="257" t="s">
        <v>974</v>
      </c>
      <c r="D698" s="258" t="s">
        <v>710</v>
      </c>
      <c r="E698" s="258"/>
      <c r="F698" s="258"/>
      <c r="G698" s="258"/>
      <c r="H698" s="259">
        <f>SUM(H691:H695)</f>
        <v>77.83000000000001</v>
      </c>
    </row>
    <row r="699" ht="12.75">
      <c r="A699" s="226"/>
    </row>
    <row r="700" ht="12.75">
      <c r="A700" s="226"/>
    </row>
    <row r="701" spans="1:8" ht="30" customHeight="1">
      <c r="A701" s="226"/>
      <c r="B701" s="227" t="s">
        <v>609</v>
      </c>
      <c r="C701" s="228"/>
      <c r="D701" s="229" t="s">
        <v>975</v>
      </c>
      <c r="E701" s="229"/>
      <c r="F701" s="229"/>
      <c r="G701" s="229"/>
      <c r="H701" s="230" t="s">
        <v>86</v>
      </c>
    </row>
    <row r="702" spans="1:8" ht="12.75">
      <c r="A702" s="226"/>
      <c r="B702" s="231" t="s">
        <v>700</v>
      </c>
      <c r="C702" s="232" t="s">
        <v>701</v>
      </c>
      <c r="D702" s="232" t="s">
        <v>702</v>
      </c>
      <c r="E702" s="233" t="s">
        <v>703</v>
      </c>
      <c r="F702" s="234" t="s">
        <v>704</v>
      </c>
      <c r="G702" s="232" t="s">
        <v>705</v>
      </c>
      <c r="H702" s="235" t="s">
        <v>706</v>
      </c>
    </row>
    <row r="703" spans="1:8" ht="38.25">
      <c r="A703" s="226"/>
      <c r="B703" s="236" t="s">
        <v>125</v>
      </c>
      <c r="C703" s="237">
        <v>88248</v>
      </c>
      <c r="D703" s="238" t="s">
        <v>746</v>
      </c>
      <c r="E703" s="239" t="s">
        <v>713</v>
      </c>
      <c r="F703" s="240">
        <v>1.471</v>
      </c>
      <c r="G703" s="241">
        <v>17.45</v>
      </c>
      <c r="H703" s="242">
        <f aca="true" t="shared" si="59" ref="H703:H707">ROUND(F703*G703,2)</f>
        <v>25.67</v>
      </c>
    </row>
    <row r="704" spans="1:8" ht="25.5">
      <c r="A704" s="226"/>
      <c r="B704" s="236" t="s">
        <v>125</v>
      </c>
      <c r="C704" s="237">
        <v>88267</v>
      </c>
      <c r="D704" s="238" t="s">
        <v>745</v>
      </c>
      <c r="E704" s="239" t="s">
        <v>713</v>
      </c>
      <c r="F704" s="240">
        <v>1.471</v>
      </c>
      <c r="G704" s="241">
        <v>21.76</v>
      </c>
      <c r="H704" s="242">
        <f t="shared" si="59"/>
        <v>32.01</v>
      </c>
    </row>
    <row r="705" spans="1:8" ht="25.5">
      <c r="A705" s="226"/>
      <c r="B705" s="236" t="s">
        <v>727</v>
      </c>
      <c r="C705" s="237">
        <v>3148</v>
      </c>
      <c r="D705" s="238" t="s">
        <v>968</v>
      </c>
      <c r="E705" s="239" t="s">
        <v>733</v>
      </c>
      <c r="F705" s="240">
        <v>0.045</v>
      </c>
      <c r="G705" s="241">
        <v>14.12</v>
      </c>
      <c r="H705" s="242">
        <f t="shared" si="59"/>
        <v>0.64</v>
      </c>
    </row>
    <row r="706" spans="1:8" ht="25.5">
      <c r="A706" s="226"/>
      <c r="B706" s="236" t="s">
        <v>727</v>
      </c>
      <c r="C706" s="237">
        <v>7307</v>
      </c>
      <c r="D706" s="238" t="s">
        <v>969</v>
      </c>
      <c r="E706" s="239" t="s">
        <v>735</v>
      </c>
      <c r="F706" s="240">
        <v>0.011</v>
      </c>
      <c r="G706" s="241">
        <v>40.72</v>
      </c>
      <c r="H706" s="242">
        <f t="shared" si="59"/>
        <v>0.45</v>
      </c>
    </row>
    <row r="707" spans="1:8" ht="12.75">
      <c r="A707" s="226"/>
      <c r="B707" s="236" t="s">
        <v>742</v>
      </c>
      <c r="D707" s="285" t="s">
        <v>976</v>
      </c>
      <c r="E707" s="239" t="s">
        <v>86</v>
      </c>
      <c r="F707" s="240">
        <v>1</v>
      </c>
      <c r="G707" s="241">
        <v>113.24</v>
      </c>
      <c r="H707" s="242">
        <f t="shared" si="59"/>
        <v>113.24</v>
      </c>
    </row>
    <row r="708" spans="1:8" ht="12.75">
      <c r="A708" s="226"/>
      <c r="B708" s="243"/>
      <c r="C708" s="244"/>
      <c r="D708" s="245"/>
      <c r="E708" s="246"/>
      <c r="F708" s="247"/>
      <c r="G708" s="248"/>
      <c r="H708" s="249"/>
    </row>
    <row r="709" spans="1:8" ht="12.75">
      <c r="A709" s="226"/>
      <c r="B709" s="250" t="s">
        <v>709</v>
      </c>
      <c r="C709" s="251"/>
      <c r="D709" s="245"/>
      <c r="E709" s="252"/>
      <c r="F709" s="253"/>
      <c r="G709" s="254"/>
      <c r="H709" s="255"/>
    </row>
    <row r="710" spans="1:8" ht="12.75">
      <c r="A710" s="226"/>
      <c r="B710" s="272" t="s">
        <v>915</v>
      </c>
      <c r="C710" s="257" t="s">
        <v>977</v>
      </c>
      <c r="D710" s="258" t="s">
        <v>710</v>
      </c>
      <c r="E710" s="258"/>
      <c r="F710" s="258"/>
      <c r="G710" s="258"/>
      <c r="H710" s="259">
        <f>SUM(H703:H707)</f>
        <v>172.01</v>
      </c>
    </row>
    <row r="711" ht="12.75">
      <c r="A711" s="226"/>
    </row>
    <row r="712" ht="12.75">
      <c r="A712" s="226"/>
    </row>
    <row r="713" spans="1:8" ht="45" customHeight="1">
      <c r="A713" s="226"/>
      <c r="B713" s="227" t="s">
        <v>157</v>
      </c>
      <c r="C713" s="228"/>
      <c r="D713" s="229" t="s">
        <v>978</v>
      </c>
      <c r="E713" s="229"/>
      <c r="F713" s="229"/>
      <c r="G713" s="229"/>
      <c r="H713" s="230" t="s">
        <v>82</v>
      </c>
    </row>
    <row r="714" spans="1:8" ht="12.75">
      <c r="A714" s="226"/>
      <c r="B714" s="231" t="s">
        <v>700</v>
      </c>
      <c r="C714" s="232" t="s">
        <v>701</v>
      </c>
      <c r="D714" s="232" t="s">
        <v>702</v>
      </c>
      <c r="E714" s="233" t="s">
        <v>703</v>
      </c>
      <c r="F714" s="234" t="s">
        <v>704</v>
      </c>
      <c r="G714" s="232" t="s">
        <v>705</v>
      </c>
      <c r="H714" s="235" t="s">
        <v>706</v>
      </c>
    </row>
    <row r="715" spans="1:8" ht="25.5">
      <c r="A715" s="226"/>
      <c r="B715" s="236" t="s">
        <v>125</v>
      </c>
      <c r="C715" s="237">
        <v>88309</v>
      </c>
      <c r="D715" s="238" t="s">
        <v>752</v>
      </c>
      <c r="E715" s="239" t="s">
        <v>713</v>
      </c>
      <c r="F715" s="240">
        <v>0.394</v>
      </c>
      <c r="G715" s="241">
        <v>22.37</v>
      </c>
      <c r="H715" s="242">
        <f aca="true" t="shared" si="60" ref="H715:H719">ROUND(F715*G715,2)</f>
        <v>8.81</v>
      </c>
    </row>
    <row r="716" spans="1:8" ht="25.5">
      <c r="A716" s="226"/>
      <c r="B716" s="236" t="s">
        <v>125</v>
      </c>
      <c r="C716" s="237">
        <v>88316</v>
      </c>
      <c r="D716" s="238" t="s">
        <v>712</v>
      </c>
      <c r="E716" s="239" t="s">
        <v>713</v>
      </c>
      <c r="F716" s="240">
        <v>0.394</v>
      </c>
      <c r="G716" s="241">
        <v>16.21</v>
      </c>
      <c r="H716" s="242">
        <f t="shared" si="60"/>
        <v>6.39</v>
      </c>
    </row>
    <row r="717" spans="1:8" ht="38.25">
      <c r="A717" s="226"/>
      <c r="B717" s="236" t="s">
        <v>125</v>
      </c>
      <c r="C717" s="237">
        <v>88629</v>
      </c>
      <c r="D717" s="238" t="s">
        <v>979</v>
      </c>
      <c r="E717" s="239" t="s">
        <v>142</v>
      </c>
      <c r="F717" s="240">
        <v>0.002</v>
      </c>
      <c r="G717" s="241">
        <v>622.61</v>
      </c>
      <c r="H717" s="242">
        <f t="shared" si="60"/>
        <v>1.25</v>
      </c>
    </row>
    <row r="718" spans="1:8" ht="38.25">
      <c r="A718" s="226"/>
      <c r="B718" s="236" t="s">
        <v>727</v>
      </c>
      <c r="C718" s="237">
        <v>370</v>
      </c>
      <c r="D718" s="238" t="s">
        <v>960</v>
      </c>
      <c r="E718" s="239" t="s">
        <v>729</v>
      </c>
      <c r="F718" s="240">
        <v>0.007</v>
      </c>
      <c r="G718" s="241">
        <v>100</v>
      </c>
      <c r="H718" s="242">
        <f t="shared" si="60"/>
        <v>0.7</v>
      </c>
    </row>
    <row r="719" spans="1:8" ht="38.25">
      <c r="A719" s="226"/>
      <c r="B719" s="236" t="s">
        <v>727</v>
      </c>
      <c r="C719" s="237">
        <v>4061</v>
      </c>
      <c r="D719" s="238" t="s">
        <v>980</v>
      </c>
      <c r="E719" s="239" t="s">
        <v>733</v>
      </c>
      <c r="F719" s="240">
        <v>1.05</v>
      </c>
      <c r="G719" s="241">
        <v>61.54</v>
      </c>
      <c r="H719" s="242">
        <f t="shared" si="60"/>
        <v>64.62</v>
      </c>
    </row>
    <row r="720" spans="1:8" ht="12.75">
      <c r="A720" s="226"/>
      <c r="B720" s="243"/>
      <c r="C720" s="244"/>
      <c r="D720" s="245"/>
      <c r="E720" s="246"/>
      <c r="F720" s="247"/>
      <c r="G720" s="248"/>
      <c r="H720" s="249"/>
    </row>
    <row r="721" spans="1:8" ht="12.75">
      <c r="A721" s="226"/>
      <c r="B721" s="250" t="s">
        <v>709</v>
      </c>
      <c r="C721" s="251"/>
      <c r="D721" s="245"/>
      <c r="E721" s="252"/>
      <c r="F721" s="253"/>
      <c r="G721" s="254"/>
      <c r="H721" s="255"/>
    </row>
    <row r="722" spans="1:8" ht="12.75">
      <c r="A722" s="226"/>
      <c r="B722" s="272" t="s">
        <v>981</v>
      </c>
      <c r="C722" s="257" t="s">
        <v>982</v>
      </c>
      <c r="D722" s="258" t="s">
        <v>710</v>
      </c>
      <c r="E722" s="258"/>
      <c r="F722" s="258"/>
      <c r="G722" s="258"/>
      <c r="H722" s="259">
        <f>SUM(H715:H719)</f>
        <v>81.77000000000001</v>
      </c>
    </row>
    <row r="723" ht="12.75">
      <c r="A723" s="226"/>
    </row>
    <row r="724" ht="12.75">
      <c r="A724" s="226"/>
    </row>
    <row r="725" spans="1:8" ht="30" customHeight="1">
      <c r="A725" s="226"/>
      <c r="B725" s="227" t="s">
        <v>140</v>
      </c>
      <c r="C725" s="228"/>
      <c r="D725" s="229" t="s">
        <v>983</v>
      </c>
      <c r="E725" s="229"/>
      <c r="F725" s="229"/>
      <c r="G725" s="229"/>
      <c r="H725" s="230" t="s">
        <v>86</v>
      </c>
    </row>
    <row r="726" spans="1:8" ht="12.75">
      <c r="A726" s="226"/>
      <c r="B726" s="231" t="s">
        <v>700</v>
      </c>
      <c r="C726" s="232" t="s">
        <v>701</v>
      </c>
      <c r="D726" s="232" t="s">
        <v>702</v>
      </c>
      <c r="E726" s="233" t="s">
        <v>703</v>
      </c>
      <c r="F726" s="234" t="s">
        <v>704</v>
      </c>
      <c r="G726" s="232" t="s">
        <v>705</v>
      </c>
      <c r="H726" s="235" t="s">
        <v>706</v>
      </c>
    </row>
    <row r="727" spans="1:8" ht="38.25">
      <c r="A727" s="226"/>
      <c r="B727" s="236" t="s">
        <v>61</v>
      </c>
      <c r="C727" s="237" t="s">
        <v>984</v>
      </c>
      <c r="D727" s="238" t="s">
        <v>985</v>
      </c>
      <c r="E727" s="239" t="s">
        <v>901</v>
      </c>
      <c r="F727" s="240">
        <v>2</v>
      </c>
      <c r="G727" s="241">
        <v>1056</v>
      </c>
      <c r="H727" s="242">
        <f>ROUND(F727*G727,2)</f>
        <v>2112</v>
      </c>
    </row>
    <row r="728" spans="1:8" ht="51">
      <c r="A728" s="226"/>
      <c r="B728" s="243"/>
      <c r="C728" s="244"/>
      <c r="D728" s="286" t="s">
        <v>986</v>
      </c>
      <c r="E728" s="246"/>
      <c r="F728" s="247"/>
      <c r="G728" s="248"/>
      <c r="H728" s="249"/>
    </row>
    <row r="729" spans="1:8" ht="12.75">
      <c r="A729" s="226"/>
      <c r="B729" s="250" t="s">
        <v>709</v>
      </c>
      <c r="C729" s="251"/>
      <c r="D729" s="245"/>
      <c r="E729" s="252"/>
      <c r="F729" s="253"/>
      <c r="G729" s="254"/>
      <c r="H729" s="255"/>
    </row>
    <row r="730" spans="1:8" ht="12.75">
      <c r="A730" s="226"/>
      <c r="B730" s="256"/>
      <c r="C730" s="257"/>
      <c r="D730" s="258" t="s">
        <v>710</v>
      </c>
      <c r="E730" s="258"/>
      <c r="F730" s="258"/>
      <c r="G730" s="258"/>
      <c r="H730" s="259">
        <f>SUM(H727:H727)</f>
        <v>2112</v>
      </c>
    </row>
    <row r="731" ht="12.75">
      <c r="A731" s="226"/>
    </row>
    <row r="732" ht="12.75">
      <c r="A732" s="226"/>
    </row>
    <row r="733" spans="1:8" ht="30" customHeight="1">
      <c r="A733" s="226"/>
      <c r="B733" s="227" t="s">
        <v>282</v>
      </c>
      <c r="C733" s="228"/>
      <c r="D733" s="229" t="s">
        <v>987</v>
      </c>
      <c r="E733" s="229"/>
      <c r="F733" s="229"/>
      <c r="G733" s="229"/>
      <c r="H733" s="230" t="s">
        <v>86</v>
      </c>
    </row>
    <row r="734" spans="1:8" ht="12.75">
      <c r="A734" s="226"/>
      <c r="B734" s="231" t="s">
        <v>700</v>
      </c>
      <c r="C734" s="232" t="s">
        <v>701</v>
      </c>
      <c r="D734" s="232" t="s">
        <v>702</v>
      </c>
      <c r="E734" s="233" t="s">
        <v>703</v>
      </c>
      <c r="F734" s="234" t="s">
        <v>704</v>
      </c>
      <c r="G734" s="232" t="s">
        <v>705</v>
      </c>
      <c r="H734" s="235" t="s">
        <v>706</v>
      </c>
    </row>
    <row r="735" spans="1:8" ht="25.5">
      <c r="A735" s="226"/>
      <c r="B735" s="236" t="s">
        <v>125</v>
      </c>
      <c r="C735" s="237">
        <v>88251</v>
      </c>
      <c r="D735" s="238" t="s">
        <v>833</v>
      </c>
      <c r="E735" s="239" t="s">
        <v>713</v>
      </c>
      <c r="F735" s="240">
        <v>0.5</v>
      </c>
      <c r="G735" s="241">
        <v>17.96</v>
      </c>
      <c r="H735" s="242">
        <f aca="true" t="shared" si="61" ref="H735:H739">ROUND(F735*G735,2)</f>
        <v>8.98</v>
      </c>
    </row>
    <row r="736" spans="1:8" ht="25.5">
      <c r="A736" s="226"/>
      <c r="B736" s="236" t="s">
        <v>125</v>
      </c>
      <c r="C736" s="237">
        <v>88315</v>
      </c>
      <c r="D736" s="238" t="s">
        <v>834</v>
      </c>
      <c r="E736" s="239" t="s">
        <v>713</v>
      </c>
      <c r="F736" s="240">
        <v>0.5</v>
      </c>
      <c r="G736" s="241">
        <v>22.24</v>
      </c>
      <c r="H736" s="242">
        <f t="shared" si="61"/>
        <v>11.12</v>
      </c>
    </row>
    <row r="737" spans="1:8" ht="25.5">
      <c r="A737" s="226"/>
      <c r="B737" s="236" t="s">
        <v>727</v>
      </c>
      <c r="C737" s="237">
        <v>1332</v>
      </c>
      <c r="D737" s="238" t="s">
        <v>988</v>
      </c>
      <c r="E737" s="239" t="s">
        <v>874</v>
      </c>
      <c r="F737" s="240">
        <v>2.9876000000000005</v>
      </c>
      <c r="G737" s="241">
        <v>10.98</v>
      </c>
      <c r="H737" s="242">
        <f t="shared" si="61"/>
        <v>32.8</v>
      </c>
    </row>
    <row r="738" spans="1:8" ht="25.5">
      <c r="A738" s="226"/>
      <c r="B738" s="236" t="s">
        <v>727</v>
      </c>
      <c r="C738" s="237">
        <v>11002</v>
      </c>
      <c r="D738" s="238" t="s">
        <v>989</v>
      </c>
      <c r="E738" s="239" t="s">
        <v>874</v>
      </c>
      <c r="F738" s="240">
        <v>0.003</v>
      </c>
      <c r="G738" s="241">
        <v>46.55</v>
      </c>
      <c r="H738" s="242">
        <f t="shared" si="61"/>
        <v>0.14</v>
      </c>
    </row>
    <row r="739" spans="1:8" ht="25.5">
      <c r="A739" s="226"/>
      <c r="B739" s="236" t="s">
        <v>727</v>
      </c>
      <c r="C739" s="237">
        <v>11975</v>
      </c>
      <c r="D739" s="238" t="s">
        <v>990</v>
      </c>
      <c r="E739" s="239" t="s">
        <v>733</v>
      </c>
      <c r="F739" s="240">
        <v>4</v>
      </c>
      <c r="G739" s="241">
        <v>36.38</v>
      </c>
      <c r="H739" s="242">
        <f t="shared" si="61"/>
        <v>145.52</v>
      </c>
    </row>
    <row r="740" spans="1:8" ht="12.75">
      <c r="A740" s="226"/>
      <c r="B740" s="243"/>
      <c r="C740" s="244"/>
      <c r="D740" s="245"/>
      <c r="E740" s="246"/>
      <c r="F740" s="247"/>
      <c r="G740" s="248"/>
      <c r="H740" s="249"/>
    </row>
    <row r="741" spans="1:8" ht="12.75">
      <c r="A741" s="226"/>
      <c r="B741" s="250" t="s">
        <v>709</v>
      </c>
      <c r="C741" s="251"/>
      <c r="D741" s="245"/>
      <c r="E741" s="252"/>
      <c r="F741" s="253"/>
      <c r="G741" s="254"/>
      <c r="H741" s="255"/>
    </row>
    <row r="742" spans="1:8" ht="12.75">
      <c r="A742" s="226"/>
      <c r="B742" s="256"/>
      <c r="C742" s="257"/>
      <c r="D742" s="258" t="s">
        <v>710</v>
      </c>
      <c r="E742" s="258"/>
      <c r="F742" s="258"/>
      <c r="G742" s="258"/>
      <c r="H742" s="259">
        <f>SUM(H735:H739)</f>
        <v>198.56</v>
      </c>
    </row>
    <row r="743" ht="12.75">
      <c r="A743" s="226"/>
    </row>
    <row r="744" ht="12.75">
      <c r="A744" s="226"/>
    </row>
    <row r="745" spans="1:8" ht="30" customHeight="1">
      <c r="A745" s="226"/>
      <c r="B745" s="227" t="s">
        <v>397</v>
      </c>
      <c r="C745" s="228"/>
      <c r="D745" s="229" t="s">
        <v>768</v>
      </c>
      <c r="E745" s="229"/>
      <c r="F745" s="229"/>
      <c r="G745" s="229"/>
      <c r="H745" s="230" t="s">
        <v>142</v>
      </c>
    </row>
    <row r="746" spans="1:8" ht="12.75">
      <c r="A746" s="226"/>
      <c r="B746" s="231" t="s">
        <v>700</v>
      </c>
      <c r="C746" s="232" t="s">
        <v>701</v>
      </c>
      <c r="D746" s="232" t="s">
        <v>702</v>
      </c>
      <c r="E746" s="233" t="s">
        <v>703</v>
      </c>
      <c r="F746" s="234" t="s">
        <v>704</v>
      </c>
      <c r="G746" s="232" t="s">
        <v>705</v>
      </c>
      <c r="H746" s="235" t="s">
        <v>706</v>
      </c>
    </row>
    <row r="747" spans="1:8" ht="25.5">
      <c r="A747" s="226"/>
      <c r="B747" s="236" t="s">
        <v>125</v>
      </c>
      <c r="C747" s="237">
        <v>88316</v>
      </c>
      <c r="D747" s="238" t="s">
        <v>712</v>
      </c>
      <c r="E747" s="239" t="s">
        <v>713</v>
      </c>
      <c r="F747" s="240">
        <v>0.7</v>
      </c>
      <c r="G747" s="241">
        <v>16.21</v>
      </c>
      <c r="H747" s="242">
        <f aca="true" t="shared" si="62" ref="H747:H748">ROUND(F747*G747,2)</f>
        <v>11.35</v>
      </c>
    </row>
    <row r="748" spans="1:8" ht="12.75">
      <c r="A748" s="226"/>
      <c r="B748" s="236" t="s">
        <v>742</v>
      </c>
      <c r="D748" s="274" t="s">
        <v>991</v>
      </c>
      <c r="E748" s="239" t="s">
        <v>142</v>
      </c>
      <c r="F748" s="240">
        <v>0.2</v>
      </c>
      <c r="G748" s="241">
        <v>243.33333333333334</v>
      </c>
      <c r="H748" s="242">
        <f t="shared" si="62"/>
        <v>48.67</v>
      </c>
    </row>
    <row r="749" spans="1:8" ht="12.75">
      <c r="A749" s="226"/>
      <c r="B749" s="243"/>
      <c r="C749" s="244"/>
      <c r="D749" s="245"/>
      <c r="E749" s="246"/>
      <c r="F749" s="247"/>
      <c r="G749" s="248"/>
      <c r="H749" s="249"/>
    </row>
    <row r="750" spans="1:8" ht="12.75">
      <c r="A750" s="226"/>
      <c r="B750" s="250" t="s">
        <v>709</v>
      </c>
      <c r="C750" s="251"/>
      <c r="D750" s="245"/>
      <c r="E750" s="252"/>
      <c r="F750" s="253"/>
      <c r="G750" s="254"/>
      <c r="H750" s="255"/>
    </row>
    <row r="751" spans="1:8" ht="12.75">
      <c r="A751" s="226"/>
      <c r="B751" s="256"/>
      <c r="C751" s="257"/>
      <c r="D751" s="258" t="s">
        <v>710</v>
      </c>
      <c r="E751" s="258"/>
      <c r="F751" s="258"/>
      <c r="G751" s="258"/>
      <c r="H751" s="259">
        <f>SUM(H747:H748)</f>
        <v>60.02</v>
      </c>
    </row>
    <row r="752" ht="12.75">
      <c r="A752" s="226"/>
    </row>
    <row r="753" ht="12.75">
      <c r="A753" s="226"/>
    </row>
    <row r="754" spans="1:8" ht="135" customHeight="1">
      <c r="A754" s="226"/>
      <c r="B754" s="227" t="s">
        <v>354</v>
      </c>
      <c r="C754" s="228"/>
      <c r="D754" s="229" t="s">
        <v>992</v>
      </c>
      <c r="E754" s="229"/>
      <c r="F754" s="229"/>
      <c r="G754" s="229"/>
      <c r="H754" s="230" t="s">
        <v>82</v>
      </c>
    </row>
    <row r="755" spans="1:8" ht="12.75">
      <c r="A755" s="226"/>
      <c r="B755" s="231" t="s">
        <v>700</v>
      </c>
      <c r="C755" s="232" t="s">
        <v>701</v>
      </c>
      <c r="D755" s="232" t="s">
        <v>702</v>
      </c>
      <c r="E755" s="233" t="s">
        <v>703</v>
      </c>
      <c r="F755" s="234" t="s">
        <v>704</v>
      </c>
      <c r="G755" s="232" t="s">
        <v>705</v>
      </c>
      <c r="H755" s="235" t="s">
        <v>706</v>
      </c>
    </row>
    <row r="756" spans="1:8" ht="25.5">
      <c r="A756" s="226"/>
      <c r="B756" s="236" t="s">
        <v>125</v>
      </c>
      <c r="C756" s="237">
        <v>88247</v>
      </c>
      <c r="D756" s="238" t="s">
        <v>759</v>
      </c>
      <c r="E756" s="239" t="s">
        <v>713</v>
      </c>
      <c r="F756" s="240">
        <v>0.06</v>
      </c>
      <c r="G756" s="241">
        <v>18.25</v>
      </c>
      <c r="H756" s="242">
        <f aca="true" t="shared" si="63" ref="H756:H758">ROUND(F756*G756,2)</f>
        <v>1.1</v>
      </c>
    </row>
    <row r="757" spans="1:8" ht="25.5">
      <c r="A757" s="226"/>
      <c r="B757" s="236" t="s">
        <v>125</v>
      </c>
      <c r="C757" s="237">
        <v>88264</v>
      </c>
      <c r="D757" s="238" t="s">
        <v>758</v>
      </c>
      <c r="E757" s="239" t="s">
        <v>713</v>
      </c>
      <c r="F757" s="240">
        <v>0.06</v>
      </c>
      <c r="G757" s="241">
        <v>22.61</v>
      </c>
      <c r="H757" s="242">
        <f t="shared" si="63"/>
        <v>1.36</v>
      </c>
    </row>
    <row r="758" spans="1:8" ht="25.5">
      <c r="A758" s="226"/>
      <c r="B758" s="236" t="s">
        <v>742</v>
      </c>
      <c r="D758" s="274" t="s">
        <v>993</v>
      </c>
      <c r="E758" s="239" t="s">
        <v>82</v>
      </c>
      <c r="F758" s="240">
        <v>1.1</v>
      </c>
      <c r="G758" s="241">
        <v>7.146666666666667</v>
      </c>
      <c r="H758" s="242">
        <f t="shared" si="63"/>
        <v>7.86</v>
      </c>
    </row>
    <row r="759" spans="1:8" ht="12.75">
      <c r="A759" s="226"/>
      <c r="B759" s="243"/>
      <c r="C759" s="244"/>
      <c r="D759" s="245"/>
      <c r="E759" s="246"/>
      <c r="F759" s="247"/>
      <c r="G759" s="248"/>
      <c r="H759" s="249"/>
    </row>
    <row r="760" spans="1:8" ht="12.75">
      <c r="A760" s="226"/>
      <c r="B760" s="250" t="s">
        <v>709</v>
      </c>
      <c r="C760" s="251"/>
      <c r="D760" s="245"/>
      <c r="E760" s="252"/>
      <c r="F760" s="253"/>
      <c r="G760" s="254"/>
      <c r="H760" s="255"/>
    </row>
    <row r="761" spans="1:8" ht="12.75">
      <c r="A761" s="226"/>
      <c r="B761" s="256"/>
      <c r="C761" s="257"/>
      <c r="D761" s="258" t="s">
        <v>710</v>
      </c>
      <c r="E761" s="258"/>
      <c r="F761" s="258"/>
      <c r="G761" s="258"/>
      <c r="H761" s="259">
        <f>SUM(H756:H758)</f>
        <v>10.32</v>
      </c>
    </row>
    <row r="762" ht="12.75">
      <c r="A762" s="226"/>
    </row>
    <row r="763" ht="12.75">
      <c r="A763" s="226"/>
    </row>
    <row r="764" spans="1:8" ht="30" customHeight="1">
      <c r="A764" s="226"/>
      <c r="B764" s="227" t="s">
        <v>185</v>
      </c>
      <c r="C764" s="228"/>
      <c r="D764" s="229" t="s">
        <v>994</v>
      </c>
      <c r="E764" s="229"/>
      <c r="F764" s="229"/>
      <c r="G764" s="229"/>
      <c r="H764" s="230" t="s">
        <v>86</v>
      </c>
    </row>
    <row r="765" spans="1:8" ht="12.75">
      <c r="A765" s="226"/>
      <c r="B765" s="231" t="s">
        <v>700</v>
      </c>
      <c r="C765" s="232" t="s">
        <v>701</v>
      </c>
      <c r="D765" s="232" t="s">
        <v>702</v>
      </c>
      <c r="E765" s="233" t="s">
        <v>703</v>
      </c>
      <c r="F765" s="234" t="s">
        <v>704</v>
      </c>
      <c r="G765" s="232" t="s">
        <v>705</v>
      </c>
      <c r="H765" s="235" t="s">
        <v>706</v>
      </c>
    </row>
    <row r="766" spans="1:8" ht="25.5">
      <c r="A766" s="226"/>
      <c r="B766" s="236" t="s">
        <v>125</v>
      </c>
      <c r="C766" s="237">
        <v>88309</v>
      </c>
      <c r="D766" s="238" t="s">
        <v>752</v>
      </c>
      <c r="E766" s="239" t="s">
        <v>713</v>
      </c>
      <c r="F766" s="240">
        <v>0.5109</v>
      </c>
      <c r="G766" s="241">
        <v>22.37</v>
      </c>
      <c r="H766" s="242">
        <f aca="true" t="shared" si="64" ref="H766:H769">ROUND(F766*G766,2)</f>
        <v>11.43</v>
      </c>
    </row>
    <row r="767" spans="1:8" ht="25.5">
      <c r="A767" s="226"/>
      <c r="B767" s="236" t="s">
        <v>125</v>
      </c>
      <c r="C767" s="237">
        <v>88316</v>
      </c>
      <c r="D767" s="238" t="s">
        <v>712</v>
      </c>
      <c r="E767" s="239" t="s">
        <v>713</v>
      </c>
      <c r="F767" s="240">
        <v>0.5109</v>
      </c>
      <c r="G767" s="241">
        <v>16.21</v>
      </c>
      <c r="H767" s="242">
        <f t="shared" si="64"/>
        <v>8.28</v>
      </c>
    </row>
    <row r="768" spans="1:8" ht="38.25">
      <c r="A768" s="226"/>
      <c r="B768" s="236" t="s">
        <v>56</v>
      </c>
      <c r="C768" s="237" t="s">
        <v>182</v>
      </c>
      <c r="D768" s="238" t="s">
        <v>770</v>
      </c>
      <c r="E768" s="239" t="s">
        <v>142</v>
      </c>
      <c r="F768" s="240">
        <v>0.0061</v>
      </c>
      <c r="G768" s="241">
        <v>695.88</v>
      </c>
      <c r="H768" s="242">
        <f t="shared" si="64"/>
        <v>4.24</v>
      </c>
    </row>
    <row r="769" spans="1:8" ht="25.5">
      <c r="A769" s="226"/>
      <c r="B769" s="236" t="s">
        <v>742</v>
      </c>
      <c r="D769" s="274" t="s">
        <v>995</v>
      </c>
      <c r="E769" s="239" t="s">
        <v>86</v>
      </c>
      <c r="F769" s="240">
        <v>1</v>
      </c>
      <c r="G769" s="241">
        <v>529.6666666666666</v>
      </c>
      <c r="H769" s="242">
        <f t="shared" si="64"/>
        <v>529.67</v>
      </c>
    </row>
    <row r="770" spans="1:8" ht="12.75">
      <c r="A770" s="226"/>
      <c r="B770" s="243"/>
      <c r="C770" s="244"/>
      <c r="D770" s="245"/>
      <c r="E770" s="246"/>
      <c r="F770" s="247"/>
      <c r="G770" s="248"/>
      <c r="H770" s="249"/>
    </row>
    <row r="771" spans="1:8" ht="12.75">
      <c r="A771" s="226"/>
      <c r="B771" s="250" t="s">
        <v>709</v>
      </c>
      <c r="C771" s="251"/>
      <c r="D771" s="245"/>
      <c r="E771" s="252"/>
      <c r="F771" s="253"/>
      <c r="G771" s="254"/>
      <c r="H771" s="255"/>
    </row>
    <row r="772" spans="1:8" ht="12.75">
      <c r="A772" s="226"/>
      <c r="B772" s="256"/>
      <c r="C772" s="257"/>
      <c r="D772" s="258" t="s">
        <v>710</v>
      </c>
      <c r="E772" s="258"/>
      <c r="F772" s="258"/>
      <c r="G772" s="258"/>
      <c r="H772" s="259">
        <f>SUM(H766:H769)</f>
        <v>553.6199999999999</v>
      </c>
    </row>
    <row r="773" ht="12.75">
      <c r="A773" s="226"/>
    </row>
    <row r="774" ht="12.75">
      <c r="A774" s="226"/>
    </row>
    <row r="775" spans="1:8" ht="45" customHeight="1">
      <c r="A775" s="226"/>
      <c r="B775" s="227" t="s">
        <v>357</v>
      </c>
      <c r="C775" s="228"/>
      <c r="D775" s="229" t="s">
        <v>996</v>
      </c>
      <c r="E775" s="229"/>
      <c r="F775" s="229"/>
      <c r="G775" s="229"/>
      <c r="H775" s="230" t="s">
        <v>86</v>
      </c>
    </row>
    <row r="776" spans="1:8" ht="12.75">
      <c r="A776" s="226"/>
      <c r="B776" s="231" t="s">
        <v>700</v>
      </c>
      <c r="C776" s="232" t="s">
        <v>701</v>
      </c>
      <c r="D776" s="232" t="s">
        <v>702</v>
      </c>
      <c r="E776" s="233" t="s">
        <v>703</v>
      </c>
      <c r="F776" s="234" t="s">
        <v>704</v>
      </c>
      <c r="G776" s="232" t="s">
        <v>705</v>
      </c>
      <c r="H776" s="235" t="s">
        <v>706</v>
      </c>
    </row>
    <row r="777" spans="1:8" ht="25.5">
      <c r="A777" s="226"/>
      <c r="B777" s="236" t="s">
        <v>125</v>
      </c>
      <c r="C777" s="237">
        <v>91677</v>
      </c>
      <c r="D777" s="238" t="s">
        <v>997</v>
      </c>
      <c r="E777" s="239" t="s">
        <v>713</v>
      </c>
      <c r="F777" s="240">
        <v>2.7</v>
      </c>
      <c r="G777" s="241">
        <v>91.06</v>
      </c>
      <c r="H777" s="242">
        <f>ROUND(F777*G777,2)</f>
        <v>245.86</v>
      </c>
    </row>
    <row r="778" spans="1:8" ht="12.75">
      <c r="A778" s="226"/>
      <c r="B778" s="243"/>
      <c r="C778" s="244"/>
      <c r="D778" s="245"/>
      <c r="E778" s="246"/>
      <c r="F778" s="247"/>
      <c r="G778" s="248"/>
      <c r="H778" s="249"/>
    </row>
    <row r="779" spans="1:8" ht="12.75">
      <c r="A779" s="226"/>
      <c r="B779" s="250" t="s">
        <v>709</v>
      </c>
      <c r="C779" s="251"/>
      <c r="D779" s="245"/>
      <c r="E779" s="252"/>
      <c r="F779" s="253"/>
      <c r="G779" s="254"/>
      <c r="H779" s="255"/>
    </row>
    <row r="780" spans="1:8" ht="12.75">
      <c r="A780" s="226"/>
      <c r="B780" s="256"/>
      <c r="C780" s="257"/>
      <c r="D780" s="258" t="s">
        <v>710</v>
      </c>
      <c r="E780" s="258"/>
      <c r="F780" s="258"/>
      <c r="G780" s="258"/>
      <c r="H780" s="259">
        <f>SUM(H777:H777)</f>
        <v>245.86</v>
      </c>
    </row>
    <row r="781" ht="12.75">
      <c r="A781" s="226"/>
    </row>
    <row r="782" ht="12.75">
      <c r="A782" s="226"/>
    </row>
    <row r="783" spans="1:8" ht="45" customHeight="1">
      <c r="A783" s="226"/>
      <c r="B783" s="227" t="s">
        <v>375</v>
      </c>
      <c r="C783" s="228"/>
      <c r="D783" s="229" t="s">
        <v>998</v>
      </c>
      <c r="E783" s="229"/>
      <c r="F783" s="229"/>
      <c r="G783" s="229"/>
      <c r="H783" s="230" t="s">
        <v>86</v>
      </c>
    </row>
    <row r="784" spans="1:8" ht="12.75">
      <c r="A784" s="226"/>
      <c r="B784" s="231" t="s">
        <v>700</v>
      </c>
      <c r="C784" s="232" t="s">
        <v>701</v>
      </c>
      <c r="D784" s="232" t="s">
        <v>702</v>
      </c>
      <c r="E784" s="233" t="s">
        <v>703</v>
      </c>
      <c r="F784" s="234" t="s">
        <v>704</v>
      </c>
      <c r="G784" s="232" t="s">
        <v>705</v>
      </c>
      <c r="H784" s="235" t="s">
        <v>706</v>
      </c>
    </row>
    <row r="785" spans="1:8" ht="25.5">
      <c r="A785" s="226"/>
      <c r="B785" s="236" t="s">
        <v>125</v>
      </c>
      <c r="C785" s="237">
        <v>88247</v>
      </c>
      <c r="D785" s="238" t="s">
        <v>759</v>
      </c>
      <c r="E785" s="239" t="s">
        <v>713</v>
      </c>
      <c r="F785" s="240">
        <v>1</v>
      </c>
      <c r="G785" s="241">
        <v>18.25</v>
      </c>
      <c r="H785" s="242">
        <f aca="true" t="shared" si="65" ref="H785:H789">ROUND(F785*G785,2)</f>
        <v>18.25</v>
      </c>
    </row>
    <row r="786" spans="1:8" ht="25.5">
      <c r="A786" s="226"/>
      <c r="B786" s="236" t="s">
        <v>125</v>
      </c>
      <c r="C786" s="237">
        <v>88264</v>
      </c>
      <c r="D786" s="238" t="s">
        <v>758</v>
      </c>
      <c r="E786" s="239" t="s">
        <v>713</v>
      </c>
      <c r="F786" s="240">
        <v>1</v>
      </c>
      <c r="G786" s="241">
        <v>22.61</v>
      </c>
      <c r="H786" s="242">
        <f t="shared" si="65"/>
        <v>22.61</v>
      </c>
    </row>
    <row r="787" spans="1:8" ht="25.5">
      <c r="A787" s="226"/>
      <c r="B787" s="236" t="s">
        <v>727</v>
      </c>
      <c r="C787" s="237">
        <v>20111</v>
      </c>
      <c r="D787" s="238" t="s">
        <v>999</v>
      </c>
      <c r="E787" s="239" t="s">
        <v>733</v>
      </c>
      <c r="F787" s="240">
        <v>0.1</v>
      </c>
      <c r="G787" s="241">
        <v>9.8</v>
      </c>
      <c r="H787" s="242">
        <f t="shared" si="65"/>
        <v>0.98</v>
      </c>
    </row>
    <row r="788" spans="1:8" ht="38.25">
      <c r="A788" s="226"/>
      <c r="B788" s="236" t="s">
        <v>727</v>
      </c>
      <c r="C788" s="237">
        <v>404</v>
      </c>
      <c r="D788" s="238" t="s">
        <v>1000</v>
      </c>
      <c r="E788" s="239" t="s">
        <v>872</v>
      </c>
      <c r="F788" s="240">
        <v>2</v>
      </c>
      <c r="G788" s="241">
        <v>1.33</v>
      </c>
      <c r="H788" s="242">
        <f t="shared" si="65"/>
        <v>2.66</v>
      </c>
    </row>
    <row r="789" spans="1:8" ht="12.75">
      <c r="A789" s="226"/>
      <c r="B789" s="236" t="s">
        <v>742</v>
      </c>
      <c r="D789" s="274" t="s">
        <v>1001</v>
      </c>
      <c r="E789" s="239" t="s">
        <v>86</v>
      </c>
      <c r="F789" s="240">
        <v>1</v>
      </c>
      <c r="G789" s="241">
        <v>16.363333333333333</v>
      </c>
      <c r="H789" s="242">
        <f t="shared" si="65"/>
        <v>16.36</v>
      </c>
    </row>
    <row r="790" spans="1:8" ht="12.75">
      <c r="A790" s="226"/>
      <c r="B790" s="243"/>
      <c r="C790" s="244"/>
      <c r="D790" s="245"/>
      <c r="E790" s="246"/>
      <c r="F790" s="247"/>
      <c r="G790" s="248"/>
      <c r="H790" s="249"/>
    </row>
    <row r="791" spans="1:8" ht="12.75">
      <c r="A791" s="226"/>
      <c r="B791" s="250" t="s">
        <v>709</v>
      </c>
      <c r="C791" s="251"/>
      <c r="D791" s="245"/>
      <c r="E791" s="252"/>
      <c r="F791" s="253"/>
      <c r="G791" s="254"/>
      <c r="H791" s="255"/>
    </row>
    <row r="792" spans="1:8" ht="12.75">
      <c r="A792" s="226"/>
      <c r="B792" s="256"/>
      <c r="C792" s="257"/>
      <c r="D792" s="258" t="s">
        <v>710</v>
      </c>
      <c r="E792" s="258"/>
      <c r="F792" s="258"/>
      <c r="G792" s="258"/>
      <c r="H792" s="259">
        <f>SUM(H785:H789)</f>
        <v>60.86</v>
      </c>
    </row>
    <row r="793" ht="12.75">
      <c r="A793" s="226"/>
    </row>
    <row r="794" ht="12.75">
      <c r="A794" s="226"/>
    </row>
    <row r="795" spans="1:8" ht="45" customHeight="1">
      <c r="A795" s="226"/>
      <c r="B795" s="227" t="s">
        <v>378</v>
      </c>
      <c r="C795" s="228"/>
      <c r="D795" s="229" t="s">
        <v>1002</v>
      </c>
      <c r="E795" s="229"/>
      <c r="F795" s="229"/>
      <c r="G795" s="229"/>
      <c r="H795" s="230" t="s">
        <v>86</v>
      </c>
    </row>
    <row r="796" spans="1:8" ht="12.75">
      <c r="A796" s="226"/>
      <c r="B796" s="231" t="s">
        <v>700</v>
      </c>
      <c r="C796" s="232" t="s">
        <v>701</v>
      </c>
      <c r="D796" s="232" t="s">
        <v>702</v>
      </c>
      <c r="E796" s="233" t="s">
        <v>703</v>
      </c>
      <c r="F796" s="234" t="s">
        <v>704</v>
      </c>
      <c r="G796" s="232" t="s">
        <v>705</v>
      </c>
      <c r="H796" s="235" t="s">
        <v>706</v>
      </c>
    </row>
    <row r="797" spans="1:8" ht="25.5">
      <c r="A797" s="226"/>
      <c r="B797" s="236" t="s">
        <v>125</v>
      </c>
      <c r="C797" s="237">
        <v>88247</v>
      </c>
      <c r="D797" s="238" t="s">
        <v>759</v>
      </c>
      <c r="E797" s="239" t="s">
        <v>713</v>
      </c>
      <c r="F797" s="240">
        <v>1</v>
      </c>
      <c r="G797" s="241">
        <v>18.25</v>
      </c>
      <c r="H797" s="242">
        <f aca="true" t="shared" si="66" ref="H797:H801">ROUND(F797*G797,2)</f>
        <v>18.25</v>
      </c>
    </row>
    <row r="798" spans="1:8" ht="25.5">
      <c r="A798" s="226"/>
      <c r="B798" s="236" t="s">
        <v>125</v>
      </c>
      <c r="C798" s="237">
        <v>88264</v>
      </c>
      <c r="D798" s="238" t="s">
        <v>758</v>
      </c>
      <c r="E798" s="239" t="s">
        <v>713</v>
      </c>
      <c r="F798" s="240">
        <v>1</v>
      </c>
      <c r="G798" s="241">
        <v>22.61</v>
      </c>
      <c r="H798" s="242">
        <f t="shared" si="66"/>
        <v>22.61</v>
      </c>
    </row>
    <row r="799" spans="1:8" ht="25.5">
      <c r="A799" s="226"/>
      <c r="B799" s="236" t="s">
        <v>727</v>
      </c>
      <c r="C799" s="237">
        <v>20111</v>
      </c>
      <c r="D799" s="238" t="s">
        <v>999</v>
      </c>
      <c r="E799" s="239" t="s">
        <v>733</v>
      </c>
      <c r="F799" s="240">
        <v>0.1</v>
      </c>
      <c r="G799" s="241">
        <v>9.8</v>
      </c>
      <c r="H799" s="242">
        <f t="shared" si="66"/>
        <v>0.98</v>
      </c>
    </row>
    <row r="800" spans="1:8" ht="38.25">
      <c r="A800" s="226"/>
      <c r="B800" s="236" t="s">
        <v>727</v>
      </c>
      <c r="C800" s="237">
        <v>404</v>
      </c>
      <c r="D800" s="238" t="s">
        <v>1000</v>
      </c>
      <c r="E800" s="239" t="s">
        <v>872</v>
      </c>
      <c r="F800" s="240">
        <v>2</v>
      </c>
      <c r="G800" s="241">
        <v>1.33</v>
      </c>
      <c r="H800" s="242">
        <f t="shared" si="66"/>
        <v>2.66</v>
      </c>
    </row>
    <row r="801" spans="1:8" ht="51">
      <c r="A801" s="226"/>
      <c r="B801" s="236" t="s">
        <v>727</v>
      </c>
      <c r="C801" s="237">
        <v>1580</v>
      </c>
      <c r="D801" s="238" t="s">
        <v>1003</v>
      </c>
      <c r="E801" s="239" t="s">
        <v>733</v>
      </c>
      <c r="F801" s="240">
        <v>1</v>
      </c>
      <c r="G801" s="241">
        <v>8.67</v>
      </c>
      <c r="H801" s="242">
        <f t="shared" si="66"/>
        <v>8.67</v>
      </c>
    </row>
    <row r="802" spans="1:8" ht="12.75">
      <c r="A802" s="226"/>
      <c r="B802" s="243"/>
      <c r="C802" s="244"/>
      <c r="D802" s="245"/>
      <c r="E802" s="246"/>
      <c r="F802" s="247"/>
      <c r="G802" s="248"/>
      <c r="H802" s="249"/>
    </row>
    <row r="803" spans="1:8" ht="12.75">
      <c r="A803" s="226"/>
      <c r="B803" s="250" t="s">
        <v>709</v>
      </c>
      <c r="C803" s="251"/>
      <c r="D803" s="245"/>
      <c r="E803" s="252"/>
      <c r="F803" s="253"/>
      <c r="G803" s="254"/>
      <c r="H803" s="255"/>
    </row>
    <row r="804" spans="1:8" ht="12.75">
      <c r="A804" s="226"/>
      <c r="B804" s="256"/>
      <c r="C804" s="257"/>
      <c r="D804" s="258" t="s">
        <v>710</v>
      </c>
      <c r="E804" s="258"/>
      <c r="F804" s="258"/>
      <c r="G804" s="258"/>
      <c r="H804" s="259">
        <f>SUM(H797:H801)</f>
        <v>53.17</v>
      </c>
    </row>
    <row r="805" ht="12.75">
      <c r="A805" s="226"/>
    </row>
    <row r="806" ht="12.75">
      <c r="A806" s="226"/>
    </row>
    <row r="807" spans="1:8" ht="12.75" customHeight="1">
      <c r="A807" s="226"/>
      <c r="B807" s="227" t="s">
        <v>362</v>
      </c>
      <c r="C807" s="228"/>
      <c r="D807" s="229" t="s">
        <v>1004</v>
      </c>
      <c r="E807" s="229"/>
      <c r="F807" s="229"/>
      <c r="G807" s="229"/>
      <c r="H807" s="230" t="s">
        <v>82</v>
      </c>
    </row>
    <row r="808" spans="1:8" ht="12.75">
      <c r="A808" s="226"/>
      <c r="B808" s="231" t="s">
        <v>700</v>
      </c>
      <c r="C808" s="232" t="s">
        <v>701</v>
      </c>
      <c r="D808" s="232" t="s">
        <v>702</v>
      </c>
      <c r="E808" s="233" t="s">
        <v>703</v>
      </c>
      <c r="F808" s="234" t="s">
        <v>704</v>
      </c>
      <c r="G808" s="232" t="s">
        <v>705</v>
      </c>
      <c r="H808" s="235" t="s">
        <v>706</v>
      </c>
    </row>
    <row r="809" spans="1:8" ht="25.5">
      <c r="A809" s="226"/>
      <c r="B809" s="236" t="s">
        <v>125</v>
      </c>
      <c r="C809" s="237">
        <v>88247</v>
      </c>
      <c r="D809" s="238" t="s">
        <v>759</v>
      </c>
      <c r="E809" s="239" t="s">
        <v>713</v>
      </c>
      <c r="F809" s="240">
        <v>0.05</v>
      </c>
      <c r="G809" s="241">
        <v>18.25</v>
      </c>
      <c r="H809" s="242">
        <f aca="true" t="shared" si="67" ref="H809:H810">ROUND(F809*G809,2)</f>
        <v>0.91</v>
      </c>
    </row>
    <row r="810" spans="1:8" ht="25.5">
      <c r="A810" s="226"/>
      <c r="B810" s="236" t="s">
        <v>125</v>
      </c>
      <c r="C810" s="237">
        <v>88264</v>
      </c>
      <c r="D810" s="238" t="s">
        <v>758</v>
      </c>
      <c r="E810" s="239" t="s">
        <v>713</v>
      </c>
      <c r="F810" s="240">
        <v>0.05</v>
      </c>
      <c r="G810" s="241">
        <v>22.61</v>
      </c>
      <c r="H810" s="242">
        <f t="shared" si="67"/>
        <v>1.13</v>
      </c>
    </row>
    <row r="811" spans="1:8" ht="12.75">
      <c r="A811" s="226"/>
      <c r="B811" s="243"/>
      <c r="C811" s="244"/>
      <c r="D811" s="245"/>
      <c r="E811" s="246"/>
      <c r="F811" s="247"/>
      <c r="G811" s="248"/>
      <c r="H811" s="249"/>
    </row>
    <row r="812" spans="1:8" ht="12.75">
      <c r="A812" s="226"/>
      <c r="B812" s="250" t="s">
        <v>709</v>
      </c>
      <c r="C812" s="251"/>
      <c r="D812" s="245"/>
      <c r="E812" s="252"/>
      <c r="F812" s="253"/>
      <c r="G812" s="254"/>
      <c r="H812" s="255"/>
    </row>
    <row r="813" spans="1:8" ht="12.75">
      <c r="A813" s="226"/>
      <c r="B813" s="256"/>
      <c r="C813" s="257"/>
      <c r="D813" s="258" t="s">
        <v>710</v>
      </c>
      <c r="E813" s="258"/>
      <c r="F813" s="258"/>
      <c r="G813" s="258"/>
      <c r="H813" s="259">
        <f>SUM(H809:H810)</f>
        <v>2.04</v>
      </c>
    </row>
    <row r="814" ht="12.75">
      <c r="A814" s="226"/>
    </row>
    <row r="815" ht="12.75">
      <c r="A815" s="226"/>
    </row>
    <row r="816" spans="1:8" ht="30" customHeight="1">
      <c r="A816" s="226"/>
      <c r="B816" s="227" t="s">
        <v>668</v>
      </c>
      <c r="C816" s="228"/>
      <c r="D816" s="229" t="s">
        <v>1005</v>
      </c>
      <c r="E816" s="229"/>
      <c r="F816" s="229"/>
      <c r="G816" s="229"/>
      <c r="H816" s="230" t="s">
        <v>86</v>
      </c>
    </row>
    <row r="817" spans="1:8" ht="12.75">
      <c r="A817" s="226"/>
      <c r="B817" s="231" t="s">
        <v>700</v>
      </c>
      <c r="C817" s="232" t="s">
        <v>701</v>
      </c>
      <c r="D817" s="232" t="s">
        <v>702</v>
      </c>
      <c r="E817" s="233" t="s">
        <v>703</v>
      </c>
      <c r="F817" s="234" t="s">
        <v>704</v>
      </c>
      <c r="G817" s="232" t="s">
        <v>705</v>
      </c>
      <c r="H817" s="235" t="s">
        <v>706</v>
      </c>
    </row>
    <row r="818" spans="1:8" ht="25.5">
      <c r="A818" s="226"/>
      <c r="B818" s="236" t="s">
        <v>125</v>
      </c>
      <c r="C818" s="237">
        <v>88247</v>
      </c>
      <c r="D818" s="238" t="s">
        <v>759</v>
      </c>
      <c r="E818" s="239" t="s">
        <v>713</v>
      </c>
      <c r="F818" s="240">
        <v>0.3955</v>
      </c>
      <c r="G818" s="241">
        <v>18.25</v>
      </c>
      <c r="H818" s="242">
        <f aca="true" t="shared" si="68" ref="H818:H820">ROUND(F818*G818,2)</f>
        <v>7.22</v>
      </c>
    </row>
    <row r="819" spans="1:8" ht="25.5">
      <c r="A819" s="226"/>
      <c r="B819" s="236" t="s">
        <v>125</v>
      </c>
      <c r="C819" s="237">
        <v>88264</v>
      </c>
      <c r="D819" s="238" t="s">
        <v>758</v>
      </c>
      <c r="E819" s="239" t="s">
        <v>713</v>
      </c>
      <c r="F819" s="240">
        <v>0.3955</v>
      </c>
      <c r="G819" s="241">
        <v>22.61</v>
      </c>
      <c r="H819" s="242">
        <f t="shared" si="68"/>
        <v>8.94</v>
      </c>
    </row>
    <row r="820" spans="1:8" ht="51">
      <c r="A820" s="226"/>
      <c r="B820" s="236" t="s">
        <v>727</v>
      </c>
      <c r="C820" s="237">
        <v>11991</v>
      </c>
      <c r="D820" s="238" t="s">
        <v>1006</v>
      </c>
      <c r="E820" s="239" t="s">
        <v>733</v>
      </c>
      <c r="F820" s="240">
        <v>1.2</v>
      </c>
      <c r="G820" s="241">
        <v>94.43</v>
      </c>
      <c r="H820" s="242">
        <f t="shared" si="68"/>
        <v>113.32</v>
      </c>
    </row>
    <row r="821" spans="1:8" ht="12.75">
      <c r="A821" s="226"/>
      <c r="B821" s="243"/>
      <c r="C821" s="244"/>
      <c r="D821" s="245"/>
      <c r="E821" s="246"/>
      <c r="F821" s="247"/>
      <c r="G821" s="248"/>
      <c r="H821" s="249"/>
    </row>
    <row r="822" spans="1:8" ht="12.75">
      <c r="A822" s="226"/>
      <c r="B822" s="250" t="s">
        <v>709</v>
      </c>
      <c r="C822" s="251"/>
      <c r="D822" s="245"/>
      <c r="E822" s="252"/>
      <c r="F822" s="253"/>
      <c r="G822" s="254"/>
      <c r="H822" s="255"/>
    </row>
    <row r="823" spans="1:8" ht="12.75">
      <c r="A823" s="226"/>
      <c r="B823" s="272" t="s">
        <v>1007</v>
      </c>
      <c r="C823" s="257" t="s">
        <v>1008</v>
      </c>
      <c r="D823" s="258" t="s">
        <v>710</v>
      </c>
      <c r="E823" s="258"/>
      <c r="F823" s="258"/>
      <c r="G823" s="258"/>
      <c r="H823" s="259">
        <f>SUM(H818:H820)</f>
        <v>129.48</v>
      </c>
    </row>
    <row r="824" ht="12.75">
      <c r="A824" s="226"/>
    </row>
    <row r="825" ht="12.75">
      <c r="A825" s="226"/>
    </row>
    <row r="826" spans="1:8" ht="12.75" customHeight="1">
      <c r="A826" s="226"/>
      <c r="B826" s="227" t="s">
        <v>681</v>
      </c>
      <c r="C826" s="228"/>
      <c r="D826" s="229" t="s">
        <v>1009</v>
      </c>
      <c r="E826" s="229"/>
      <c r="F826" s="229"/>
      <c r="G826" s="229"/>
      <c r="H826" s="230" t="s">
        <v>86</v>
      </c>
    </row>
    <row r="827" spans="1:8" ht="12.75">
      <c r="A827" s="226"/>
      <c r="B827" s="231" t="s">
        <v>700</v>
      </c>
      <c r="C827" s="232" t="s">
        <v>701</v>
      </c>
      <c r="D827" s="232" t="s">
        <v>702</v>
      </c>
      <c r="E827" s="233" t="s">
        <v>703</v>
      </c>
      <c r="F827" s="234" t="s">
        <v>704</v>
      </c>
      <c r="G827" s="232" t="s">
        <v>705</v>
      </c>
      <c r="H827" s="235" t="s">
        <v>706</v>
      </c>
    </row>
    <row r="828" spans="1:8" ht="25.5">
      <c r="A828" s="226"/>
      <c r="B828" s="236" t="s">
        <v>125</v>
      </c>
      <c r="C828" s="237">
        <v>88247</v>
      </c>
      <c r="D828" s="238" t="s">
        <v>759</v>
      </c>
      <c r="E828" s="239" t="s">
        <v>713</v>
      </c>
      <c r="F828" s="240">
        <v>0.1</v>
      </c>
      <c r="G828" s="241">
        <v>18.25</v>
      </c>
      <c r="H828" s="242">
        <f aca="true" t="shared" si="69" ref="H828:H830">ROUND(F828*G828,2)</f>
        <v>1.83</v>
      </c>
    </row>
    <row r="829" spans="1:8" ht="25.5">
      <c r="A829" s="226"/>
      <c r="B829" s="236" t="s">
        <v>125</v>
      </c>
      <c r="C829" s="237">
        <v>88264</v>
      </c>
      <c r="D829" s="238" t="s">
        <v>758</v>
      </c>
      <c r="E829" s="239" t="s">
        <v>713</v>
      </c>
      <c r="F829" s="240">
        <v>0.1</v>
      </c>
      <c r="G829" s="241">
        <v>22.61</v>
      </c>
      <c r="H829" s="242">
        <f t="shared" si="69"/>
        <v>2.26</v>
      </c>
    </row>
    <row r="830" spans="1:8" ht="38.25">
      <c r="A830" s="226"/>
      <c r="B830" s="236" t="s">
        <v>1010</v>
      </c>
      <c r="C830" s="237" t="s">
        <v>1011</v>
      </c>
      <c r="D830" s="238" t="s">
        <v>1012</v>
      </c>
      <c r="E830" s="239" t="s">
        <v>733</v>
      </c>
      <c r="F830" s="240">
        <v>1</v>
      </c>
      <c r="G830" s="241">
        <v>13.61</v>
      </c>
      <c r="H830" s="242">
        <f t="shared" si="69"/>
        <v>13.61</v>
      </c>
    </row>
    <row r="831" spans="1:8" ht="12.75">
      <c r="A831" s="226"/>
      <c r="B831" s="243"/>
      <c r="C831" s="244"/>
      <c r="D831" s="245"/>
      <c r="E831" s="246"/>
      <c r="F831" s="247"/>
      <c r="G831" s="248"/>
      <c r="H831" s="249"/>
    </row>
    <row r="832" spans="1:8" ht="12.75">
      <c r="A832" s="226"/>
      <c r="B832" s="250" t="s">
        <v>709</v>
      </c>
      <c r="C832" s="251"/>
      <c r="D832" s="245"/>
      <c r="E832" s="252"/>
      <c r="F832" s="253"/>
      <c r="G832" s="254"/>
      <c r="H832" s="255"/>
    </row>
    <row r="833" spans="1:8" ht="12.75">
      <c r="A833" s="226"/>
      <c r="B833" s="256"/>
      <c r="C833" s="257"/>
      <c r="D833" s="258" t="s">
        <v>710</v>
      </c>
      <c r="E833" s="258"/>
      <c r="F833" s="258"/>
      <c r="G833" s="258"/>
      <c r="H833" s="259">
        <f>SUM(H828:H830)</f>
        <v>17.7</v>
      </c>
    </row>
    <row r="834" ht="12.75">
      <c r="A834" s="226"/>
    </row>
    <row r="835" ht="12.75">
      <c r="A835" s="226"/>
    </row>
    <row r="836" spans="1:8" ht="12.75" customHeight="1">
      <c r="A836" s="226"/>
      <c r="B836" s="227" t="s">
        <v>683</v>
      </c>
      <c r="C836" s="228"/>
      <c r="D836" s="229" t="s">
        <v>1013</v>
      </c>
      <c r="E836" s="229"/>
      <c r="F836" s="229"/>
      <c r="G836" s="229"/>
      <c r="H836" s="230" t="s">
        <v>86</v>
      </c>
    </row>
    <row r="837" spans="2:8" ht="12.75">
      <c r="B837" s="231" t="s">
        <v>700</v>
      </c>
      <c r="C837" s="232" t="s">
        <v>701</v>
      </c>
      <c r="D837" s="232" t="s">
        <v>702</v>
      </c>
      <c r="E837" s="233" t="s">
        <v>703</v>
      </c>
      <c r="F837" s="234" t="s">
        <v>704</v>
      </c>
      <c r="G837" s="232" t="s">
        <v>705</v>
      </c>
      <c r="H837" s="235" t="s">
        <v>706</v>
      </c>
    </row>
    <row r="838" spans="2:8" ht="25.5">
      <c r="B838" s="236" t="s">
        <v>125</v>
      </c>
      <c r="C838" s="237">
        <v>88247</v>
      </c>
      <c r="D838" s="238" t="s">
        <v>759</v>
      </c>
      <c r="E838" s="239" t="s">
        <v>713</v>
      </c>
      <c r="F838" s="240">
        <v>2</v>
      </c>
      <c r="G838" s="241">
        <v>18.25</v>
      </c>
      <c r="H838" s="242">
        <f aca="true" t="shared" si="70" ref="H838:H839">ROUND(F838*G838,2)</f>
        <v>36.5</v>
      </c>
    </row>
    <row r="839" spans="2:8" ht="38.25">
      <c r="B839" s="236" t="s">
        <v>727</v>
      </c>
      <c r="C839" s="237">
        <v>142</v>
      </c>
      <c r="D839" s="238" t="s">
        <v>1014</v>
      </c>
      <c r="E839" s="239" t="s">
        <v>1015</v>
      </c>
      <c r="F839" s="240">
        <v>1</v>
      </c>
      <c r="G839" s="241">
        <v>29.54</v>
      </c>
      <c r="H839" s="242">
        <f t="shared" si="70"/>
        <v>29.54</v>
      </c>
    </row>
    <row r="840" spans="2:8" ht="12.75">
      <c r="B840" s="243"/>
      <c r="C840" s="244"/>
      <c r="D840" s="245"/>
      <c r="E840" s="246"/>
      <c r="F840" s="247"/>
      <c r="G840" s="248"/>
      <c r="H840" s="249"/>
    </row>
    <row r="841" spans="2:8" ht="12.75">
      <c r="B841" s="250" t="s">
        <v>709</v>
      </c>
      <c r="C841" s="251"/>
      <c r="D841" s="245"/>
      <c r="E841" s="252"/>
      <c r="F841" s="253"/>
      <c r="G841" s="254"/>
      <c r="H841" s="255"/>
    </row>
    <row r="842" spans="2:8" ht="12.75">
      <c r="B842" s="256"/>
      <c r="C842" s="257"/>
      <c r="D842" s="258" t="s">
        <v>710</v>
      </c>
      <c r="E842" s="258"/>
      <c r="F842" s="258"/>
      <c r="G842" s="258"/>
      <c r="H842" s="259">
        <f>SUM(H838:H839)</f>
        <v>66.03999999999999</v>
      </c>
    </row>
  </sheetData>
  <sheetProtection selectLockedCells="1" selectUnlockedCells="1"/>
  <mergeCells count="159">
    <mergeCell ref="B9:H9"/>
    <mergeCell ref="D11:G11"/>
    <mergeCell ref="D17:G17"/>
    <mergeCell ref="D20:G20"/>
    <mergeCell ref="D30:G30"/>
    <mergeCell ref="D33:G33"/>
    <mergeCell ref="D42:G42"/>
    <mergeCell ref="D45:G45"/>
    <mergeCell ref="D54:G54"/>
    <mergeCell ref="D57:G57"/>
    <mergeCell ref="D64:G64"/>
    <mergeCell ref="D67:G67"/>
    <mergeCell ref="D74:G74"/>
    <mergeCell ref="D77:G77"/>
    <mergeCell ref="D88:G88"/>
    <mergeCell ref="D91:G91"/>
    <mergeCell ref="D98:G98"/>
    <mergeCell ref="D101:G101"/>
    <mergeCell ref="D107:G107"/>
    <mergeCell ref="D110:G110"/>
    <mergeCell ref="D121:G121"/>
    <mergeCell ref="D124:G124"/>
    <mergeCell ref="D129:G129"/>
    <mergeCell ref="D132:G132"/>
    <mergeCell ref="D138:G138"/>
    <mergeCell ref="D141:G141"/>
    <mergeCell ref="D147:G147"/>
    <mergeCell ref="D150:G150"/>
    <mergeCell ref="D155:G155"/>
    <mergeCell ref="D158:G158"/>
    <mergeCell ref="D163:G163"/>
    <mergeCell ref="D166:G166"/>
    <mergeCell ref="D171:G171"/>
    <mergeCell ref="D174:G174"/>
    <mergeCell ref="D183:G183"/>
    <mergeCell ref="D186:G186"/>
    <mergeCell ref="D193:G193"/>
    <mergeCell ref="D196:G196"/>
    <mergeCell ref="D203:G203"/>
    <mergeCell ref="D206:G206"/>
    <mergeCell ref="D213:G213"/>
    <mergeCell ref="D216:G216"/>
    <mergeCell ref="D223:G223"/>
    <mergeCell ref="D226:G226"/>
    <mergeCell ref="D233:G233"/>
    <mergeCell ref="D236:G236"/>
    <mergeCell ref="D243:G243"/>
    <mergeCell ref="D246:G246"/>
    <mergeCell ref="D262:G262"/>
    <mergeCell ref="D265:G265"/>
    <mergeCell ref="D273:G273"/>
    <mergeCell ref="D276:G276"/>
    <mergeCell ref="D282:G282"/>
    <mergeCell ref="D285:G285"/>
    <mergeCell ref="D293:G293"/>
    <mergeCell ref="D296:G296"/>
    <mergeCell ref="D303:G303"/>
    <mergeCell ref="D306:G306"/>
    <mergeCell ref="D313:G313"/>
    <mergeCell ref="D316:G316"/>
    <mergeCell ref="D323:G323"/>
    <mergeCell ref="D326:G326"/>
    <mergeCell ref="D333:G333"/>
    <mergeCell ref="D336:G336"/>
    <mergeCell ref="D344:G344"/>
    <mergeCell ref="D347:G347"/>
    <mergeCell ref="D354:G354"/>
    <mergeCell ref="D357:G357"/>
    <mergeCell ref="D364:G364"/>
    <mergeCell ref="D367:G367"/>
    <mergeCell ref="D375:G375"/>
    <mergeCell ref="D378:G378"/>
    <mergeCell ref="D386:G386"/>
    <mergeCell ref="D389:G389"/>
    <mergeCell ref="D397:G397"/>
    <mergeCell ref="D400:G400"/>
    <mergeCell ref="D408:G408"/>
    <mergeCell ref="D411:G411"/>
    <mergeCell ref="D418:G418"/>
    <mergeCell ref="D421:G421"/>
    <mergeCell ref="D429:G429"/>
    <mergeCell ref="D432:G432"/>
    <mergeCell ref="D440:G440"/>
    <mergeCell ref="D443:G443"/>
    <mergeCell ref="D454:G454"/>
    <mergeCell ref="D457:G457"/>
    <mergeCell ref="D463:G463"/>
    <mergeCell ref="D466:G466"/>
    <mergeCell ref="D472:G472"/>
    <mergeCell ref="D475:G475"/>
    <mergeCell ref="D482:G482"/>
    <mergeCell ref="D485:G485"/>
    <mergeCell ref="D491:G491"/>
    <mergeCell ref="D494:G494"/>
    <mergeCell ref="D500:G500"/>
    <mergeCell ref="D503:G503"/>
    <mergeCell ref="D511:G511"/>
    <mergeCell ref="D514:G514"/>
    <mergeCell ref="D524:G524"/>
    <mergeCell ref="D527:G527"/>
    <mergeCell ref="D537:G537"/>
    <mergeCell ref="D540:G540"/>
    <mergeCell ref="D546:G546"/>
    <mergeCell ref="D549:G549"/>
    <mergeCell ref="D561:G561"/>
    <mergeCell ref="D564:G564"/>
    <mergeCell ref="D571:G571"/>
    <mergeCell ref="D574:G574"/>
    <mergeCell ref="D580:G580"/>
    <mergeCell ref="D583:G583"/>
    <mergeCell ref="D589:G589"/>
    <mergeCell ref="D592:G592"/>
    <mergeCell ref="D598:G598"/>
    <mergeCell ref="D601:G601"/>
    <mergeCell ref="D614:G614"/>
    <mergeCell ref="D617:G617"/>
    <mergeCell ref="D623:G623"/>
    <mergeCell ref="D626:G626"/>
    <mergeCell ref="D631:G631"/>
    <mergeCell ref="D634:G634"/>
    <mergeCell ref="D640:G640"/>
    <mergeCell ref="D643:G643"/>
    <mergeCell ref="D655:G655"/>
    <mergeCell ref="D658:G658"/>
    <mergeCell ref="D664:G664"/>
    <mergeCell ref="D667:G667"/>
    <mergeCell ref="D674:G674"/>
    <mergeCell ref="D677:G677"/>
    <mergeCell ref="D686:G686"/>
    <mergeCell ref="D689:G689"/>
    <mergeCell ref="D698:G698"/>
    <mergeCell ref="D701:G701"/>
    <mergeCell ref="D710:G710"/>
    <mergeCell ref="D713:G713"/>
    <mergeCell ref="D722:G722"/>
    <mergeCell ref="D725:G725"/>
    <mergeCell ref="D730:G730"/>
    <mergeCell ref="D733:G733"/>
    <mergeCell ref="D742:G742"/>
    <mergeCell ref="D745:G745"/>
    <mergeCell ref="D751:G751"/>
    <mergeCell ref="D754:G754"/>
    <mergeCell ref="D761:G761"/>
    <mergeCell ref="D764:G764"/>
    <mergeCell ref="D772:G772"/>
    <mergeCell ref="D775:G775"/>
    <mergeCell ref="D780:G780"/>
    <mergeCell ref="D783:G783"/>
    <mergeCell ref="D792:G792"/>
    <mergeCell ref="D795:G795"/>
    <mergeCell ref="D804:G804"/>
    <mergeCell ref="D807:G807"/>
    <mergeCell ref="D813:G813"/>
    <mergeCell ref="D816:G816"/>
    <mergeCell ref="D823:G823"/>
    <mergeCell ref="D826:G826"/>
    <mergeCell ref="D833:G833"/>
    <mergeCell ref="D836:G836"/>
    <mergeCell ref="D842:G842"/>
  </mergeCells>
  <conditionalFormatting sqref="C188:C189 F188:F190 C254:C256 F254:F256 C505:C508 F505:F508 C557 F557:F558 C468:C469 F468:F469 C516:C518 C529:C531 F529:F533 F516:F520 C477:C478 F477:F479 C22:C25 F22:F25">
    <cfRule type="expression" priority="1" dxfId="0" stopIfTrue="1">
      <formula>LEN(TRIM(C22))=0</formula>
    </cfRule>
  </conditionalFormatting>
  <conditionalFormatting sqref="C13:C14">
    <cfRule type="expression" priority="2" dxfId="0" stopIfTrue="1">
      <formula>LEN(TRIM(C13))=0</formula>
    </cfRule>
  </conditionalFormatting>
  <conditionalFormatting sqref="F13:F14">
    <cfRule type="expression" priority="3" dxfId="0" stopIfTrue="1">
      <formula>LEN(TRIM(F13))=0</formula>
    </cfRule>
  </conditionalFormatting>
  <conditionalFormatting sqref="C35:C39">
    <cfRule type="expression" priority="4" dxfId="0" stopIfTrue="1">
      <formula>LEN(TRIM(C35))=0</formula>
    </cfRule>
  </conditionalFormatting>
  <conditionalFormatting sqref="F35:F39">
    <cfRule type="expression" priority="5" dxfId="0" stopIfTrue="1">
      <formula>LEN(TRIM(F35))=0</formula>
    </cfRule>
  </conditionalFormatting>
  <conditionalFormatting sqref="C47:C51">
    <cfRule type="expression" priority="6" dxfId="0" stopIfTrue="1">
      <formula>LEN(TRIM(C47))=0</formula>
    </cfRule>
  </conditionalFormatting>
  <conditionalFormatting sqref="F47:F51">
    <cfRule type="expression" priority="7" dxfId="0" stopIfTrue="1">
      <formula>LEN(TRIM(F47))=0</formula>
    </cfRule>
  </conditionalFormatting>
  <conditionalFormatting sqref="C59:C60">
    <cfRule type="expression" priority="8" dxfId="0" stopIfTrue="1">
      <formula>LEN(TRIM(C59))=0</formula>
    </cfRule>
  </conditionalFormatting>
  <conditionalFormatting sqref="F59:F61">
    <cfRule type="expression" priority="9" dxfId="0" stopIfTrue="1">
      <formula>LEN(TRIM(F59))=0</formula>
    </cfRule>
  </conditionalFormatting>
  <conditionalFormatting sqref="C69:C70">
    <cfRule type="expression" priority="10" dxfId="0" stopIfTrue="1">
      <formula>LEN(TRIM(C69))=0</formula>
    </cfRule>
  </conditionalFormatting>
  <conditionalFormatting sqref="F69:F71">
    <cfRule type="expression" priority="11" dxfId="0" stopIfTrue="1">
      <formula>LEN(TRIM(F69))=0</formula>
    </cfRule>
  </conditionalFormatting>
  <conditionalFormatting sqref="C79:C85">
    <cfRule type="expression" priority="12" dxfId="0" stopIfTrue="1">
      <formula>LEN(TRIM(C79))=0</formula>
    </cfRule>
  </conditionalFormatting>
  <conditionalFormatting sqref="F79:F85">
    <cfRule type="expression" priority="13" dxfId="0" stopIfTrue="1">
      <formula>LEN(TRIM(F79))=0</formula>
    </cfRule>
  </conditionalFormatting>
  <conditionalFormatting sqref="C93:C94">
    <cfRule type="expression" priority="14" dxfId="0" stopIfTrue="1">
      <formula>LEN(TRIM(C93))=0</formula>
    </cfRule>
  </conditionalFormatting>
  <conditionalFormatting sqref="F93:F95">
    <cfRule type="expression" priority="15" dxfId="0" stopIfTrue="1">
      <formula>LEN(TRIM(F93))=0</formula>
    </cfRule>
  </conditionalFormatting>
  <conditionalFormatting sqref="C103:C104">
    <cfRule type="expression" priority="16" dxfId="0" stopIfTrue="1">
      <formula>LEN(TRIM(C103))=0</formula>
    </cfRule>
  </conditionalFormatting>
  <conditionalFormatting sqref="F103:F104">
    <cfRule type="expression" priority="17" dxfId="0" stopIfTrue="1">
      <formula>LEN(TRIM(F103))=0</formula>
    </cfRule>
  </conditionalFormatting>
  <conditionalFormatting sqref="C112:C118">
    <cfRule type="expression" priority="18" dxfId="0" stopIfTrue="1">
      <formula>LEN(TRIM(C112))=0</formula>
    </cfRule>
  </conditionalFormatting>
  <conditionalFormatting sqref="F112:F118">
    <cfRule type="expression" priority="19" dxfId="0" stopIfTrue="1">
      <formula>LEN(TRIM(F112))=0</formula>
    </cfRule>
  </conditionalFormatting>
  <conditionalFormatting sqref="C126">
    <cfRule type="expression" priority="20" dxfId="0" stopIfTrue="1">
      <formula>LEN(TRIM(C126))=0</formula>
    </cfRule>
  </conditionalFormatting>
  <conditionalFormatting sqref="F126">
    <cfRule type="expression" priority="21" dxfId="0" stopIfTrue="1">
      <formula>LEN(TRIM(F126))=0</formula>
    </cfRule>
  </conditionalFormatting>
  <conditionalFormatting sqref="C134:C135">
    <cfRule type="expression" priority="22" dxfId="0" stopIfTrue="1">
      <formula>LEN(TRIM(C134))=0</formula>
    </cfRule>
  </conditionalFormatting>
  <conditionalFormatting sqref="F134:F135">
    <cfRule type="expression" priority="23" dxfId="0" stopIfTrue="1">
      <formula>LEN(TRIM(F134))=0</formula>
    </cfRule>
  </conditionalFormatting>
  <conditionalFormatting sqref="D113">
    <cfRule type="expression" priority="24" dxfId="0" stopIfTrue="1">
      <formula>LEN(TRIM(D113))=0</formula>
    </cfRule>
  </conditionalFormatting>
  <conditionalFormatting sqref="E113">
    <cfRule type="expression" priority="25" dxfId="0" stopIfTrue="1">
      <formula>LEN(TRIM(E113))=0</formula>
    </cfRule>
  </conditionalFormatting>
  <conditionalFormatting sqref="C143:C144">
    <cfRule type="expression" priority="26" dxfId="0" stopIfTrue="1">
      <formula>LEN(TRIM(C143))=0</formula>
    </cfRule>
  </conditionalFormatting>
  <conditionalFormatting sqref="F143:F144">
    <cfRule type="expression" priority="27" dxfId="0" stopIfTrue="1">
      <formula>LEN(TRIM(F143))=0</formula>
    </cfRule>
  </conditionalFormatting>
  <conditionalFormatting sqref="C152">
    <cfRule type="expression" priority="28" dxfId="0" stopIfTrue="1">
      <formula>LEN(TRIM(C152))=0</formula>
    </cfRule>
  </conditionalFormatting>
  <conditionalFormatting sqref="F152">
    <cfRule type="expression" priority="29" dxfId="0" stopIfTrue="1">
      <formula>LEN(TRIM(F152))=0</formula>
    </cfRule>
  </conditionalFormatting>
  <conditionalFormatting sqref="C160">
    <cfRule type="expression" priority="30" dxfId="0" stopIfTrue="1">
      <formula>LEN(TRIM(C160))=0</formula>
    </cfRule>
  </conditionalFormatting>
  <conditionalFormatting sqref="F160">
    <cfRule type="expression" priority="31" dxfId="0" stopIfTrue="1">
      <formula>LEN(TRIM(F160))=0</formula>
    </cfRule>
  </conditionalFormatting>
  <conditionalFormatting sqref="C168">
    <cfRule type="expression" priority="32" dxfId="0" stopIfTrue="1">
      <formula>LEN(TRIM(C168))=0</formula>
    </cfRule>
  </conditionalFormatting>
  <conditionalFormatting sqref="F168">
    <cfRule type="expression" priority="33" dxfId="0" stopIfTrue="1">
      <formula>LEN(TRIM(F168))=0</formula>
    </cfRule>
  </conditionalFormatting>
  <conditionalFormatting sqref="C176:C180">
    <cfRule type="expression" priority="34" dxfId="0" stopIfTrue="1">
      <formula>LEN(TRIM(C176))=0</formula>
    </cfRule>
  </conditionalFormatting>
  <conditionalFormatting sqref="F176:F180">
    <cfRule type="expression" priority="35" dxfId="0" stopIfTrue="1">
      <formula>LEN(TRIM(F176))=0</formula>
    </cfRule>
  </conditionalFormatting>
  <conditionalFormatting sqref="C198">
    <cfRule type="expression" priority="36" dxfId="0" stopIfTrue="1">
      <formula>LEN(TRIM(C198))=0</formula>
    </cfRule>
  </conditionalFormatting>
  <conditionalFormatting sqref="F198 F200">
    <cfRule type="expression" priority="37" dxfId="0" stopIfTrue="1">
      <formula>LEN(TRIM(F198))=0</formula>
    </cfRule>
  </conditionalFormatting>
  <conditionalFormatting sqref="C208">
    <cfRule type="expression" priority="38" dxfId="0" stopIfTrue="1">
      <formula>LEN(TRIM(C208))=0</formula>
    </cfRule>
  </conditionalFormatting>
  <conditionalFormatting sqref="F208:F209">
    <cfRule type="expression" priority="39" dxfId="0" stopIfTrue="1">
      <formula>LEN(TRIM(F208))=0</formula>
    </cfRule>
  </conditionalFormatting>
  <conditionalFormatting sqref="F199">
    <cfRule type="expression" priority="40" dxfId="0" stopIfTrue="1">
      <formula>LEN(TRIM(F199))=0</formula>
    </cfRule>
  </conditionalFormatting>
  <conditionalFormatting sqref="C218">
    <cfRule type="expression" priority="41" dxfId="0" stopIfTrue="1">
      <formula>LEN(TRIM(C218))=0</formula>
    </cfRule>
  </conditionalFormatting>
  <conditionalFormatting sqref="F218:F219">
    <cfRule type="expression" priority="42" dxfId="0" stopIfTrue="1">
      <formula>LEN(TRIM(F218))=0</formula>
    </cfRule>
  </conditionalFormatting>
  <conditionalFormatting sqref="F210">
    <cfRule type="expression" priority="43" dxfId="0" stopIfTrue="1">
      <formula>LEN(TRIM(F210))=0</formula>
    </cfRule>
  </conditionalFormatting>
  <conditionalFormatting sqref="C228">
    <cfRule type="expression" priority="44" dxfId="0" stopIfTrue="1">
      <formula>LEN(TRIM(C228))=0</formula>
    </cfRule>
  </conditionalFormatting>
  <conditionalFormatting sqref="F228:F229">
    <cfRule type="expression" priority="45" dxfId="0" stopIfTrue="1">
      <formula>LEN(TRIM(F228))=0</formula>
    </cfRule>
  </conditionalFormatting>
  <conditionalFormatting sqref="F220">
    <cfRule type="expression" priority="46" dxfId="0" stopIfTrue="1">
      <formula>LEN(TRIM(F220))=0</formula>
    </cfRule>
  </conditionalFormatting>
  <conditionalFormatting sqref="C238">
    <cfRule type="expression" priority="47" dxfId="0" stopIfTrue="1">
      <formula>LEN(TRIM(C238))=0</formula>
    </cfRule>
  </conditionalFormatting>
  <conditionalFormatting sqref="F238:F239">
    <cfRule type="expression" priority="48" dxfId="0" stopIfTrue="1">
      <formula>LEN(TRIM(F238))=0</formula>
    </cfRule>
  </conditionalFormatting>
  <conditionalFormatting sqref="F230">
    <cfRule type="expression" priority="49" dxfId="0" stopIfTrue="1">
      <formula>LEN(TRIM(F230))=0</formula>
    </cfRule>
  </conditionalFormatting>
  <conditionalFormatting sqref="C248:C249 C258:C259">
    <cfRule type="expression" priority="50" dxfId="0" stopIfTrue="1">
      <formula>LEN(TRIM(C248))=0</formula>
    </cfRule>
  </conditionalFormatting>
  <conditionalFormatting sqref="F248:F249 F258:F259">
    <cfRule type="expression" priority="51" dxfId="0" stopIfTrue="1">
      <formula>LEN(TRIM(F248))=0</formula>
    </cfRule>
  </conditionalFormatting>
  <conditionalFormatting sqref="F240">
    <cfRule type="expression" priority="52" dxfId="0" stopIfTrue="1">
      <formula>LEN(TRIM(F240))=0</formula>
    </cfRule>
  </conditionalFormatting>
  <conditionalFormatting sqref="C257">
    <cfRule type="expression" priority="53" dxfId="0" stopIfTrue="1">
      <formula>LEN(TRIM(C257))=0</formula>
    </cfRule>
  </conditionalFormatting>
  <conditionalFormatting sqref="F257">
    <cfRule type="expression" priority="54" dxfId="0" stopIfTrue="1">
      <formula>LEN(TRIM(F257))=0</formula>
    </cfRule>
  </conditionalFormatting>
  <conditionalFormatting sqref="C250:C253">
    <cfRule type="expression" priority="55" dxfId="0" stopIfTrue="1">
      <formula>LEN(TRIM(C250))=0</formula>
    </cfRule>
  </conditionalFormatting>
  <conditionalFormatting sqref="F250:F253">
    <cfRule type="expression" priority="56" dxfId="0" stopIfTrue="1">
      <formula>LEN(TRIM(F250))=0</formula>
    </cfRule>
  </conditionalFormatting>
  <conditionalFormatting sqref="C267:C268">
    <cfRule type="expression" priority="57" dxfId="0" stopIfTrue="1">
      <formula>LEN(TRIM(C267))=0</formula>
    </cfRule>
  </conditionalFormatting>
  <conditionalFormatting sqref="F267:F268 F270">
    <cfRule type="expression" priority="58" dxfId="0" stopIfTrue="1">
      <formula>LEN(TRIM(F267))=0</formula>
    </cfRule>
  </conditionalFormatting>
  <conditionalFormatting sqref="C278">
    <cfRule type="expression" priority="59" dxfId="0" stopIfTrue="1">
      <formula>LEN(TRIM(C278))=0</formula>
    </cfRule>
  </conditionalFormatting>
  <conditionalFormatting sqref="F278:F279">
    <cfRule type="expression" priority="60" dxfId="0" stopIfTrue="1">
      <formula>LEN(TRIM(F278))=0</formula>
    </cfRule>
  </conditionalFormatting>
  <conditionalFormatting sqref="C287:C288">
    <cfRule type="expression" priority="61" dxfId="0" stopIfTrue="1">
      <formula>LEN(TRIM(C287))=0</formula>
    </cfRule>
  </conditionalFormatting>
  <conditionalFormatting sqref="F287:F288 F290">
    <cfRule type="expression" priority="62" dxfId="0" stopIfTrue="1">
      <formula>LEN(TRIM(F287))=0</formula>
    </cfRule>
  </conditionalFormatting>
  <conditionalFormatting sqref="C279">
    <cfRule type="expression" priority="63" dxfId="0" stopIfTrue="1">
      <formula>LEN(TRIM(C279))=0</formula>
    </cfRule>
  </conditionalFormatting>
  <conditionalFormatting sqref="C298:C299">
    <cfRule type="expression" priority="64" dxfId="0" stopIfTrue="1">
      <formula>LEN(TRIM(C298))=0</formula>
    </cfRule>
  </conditionalFormatting>
  <conditionalFormatting sqref="F298:F300">
    <cfRule type="expression" priority="65" dxfId="0" stopIfTrue="1">
      <formula>LEN(TRIM(F298))=0</formula>
    </cfRule>
  </conditionalFormatting>
  <conditionalFormatting sqref="C289">
    <cfRule type="expression" priority="66" dxfId="0" stopIfTrue="1">
      <formula>LEN(TRIM(C289))=0</formula>
    </cfRule>
  </conditionalFormatting>
  <conditionalFormatting sqref="F289">
    <cfRule type="expression" priority="67" dxfId="0" stopIfTrue="1">
      <formula>LEN(TRIM(F289))=0</formula>
    </cfRule>
  </conditionalFormatting>
  <conditionalFormatting sqref="C269">
    <cfRule type="expression" priority="68" dxfId="0" stopIfTrue="1">
      <formula>LEN(TRIM(C269))=0</formula>
    </cfRule>
  </conditionalFormatting>
  <conditionalFormatting sqref="F269">
    <cfRule type="expression" priority="69" dxfId="0" stopIfTrue="1">
      <formula>LEN(TRIM(F269))=0</formula>
    </cfRule>
  </conditionalFormatting>
  <conditionalFormatting sqref="C308:C309">
    <cfRule type="expression" priority="70" dxfId="0" stopIfTrue="1">
      <formula>LEN(TRIM(C308))=0</formula>
    </cfRule>
  </conditionalFormatting>
  <conditionalFormatting sqref="F308:F310">
    <cfRule type="expression" priority="71" dxfId="0" stopIfTrue="1">
      <formula>LEN(TRIM(F308))=0</formula>
    </cfRule>
  </conditionalFormatting>
  <conditionalFormatting sqref="C318:C320">
    <cfRule type="expression" priority="72" dxfId="0" stopIfTrue="1">
      <formula>LEN(TRIM(C318))=0</formula>
    </cfRule>
  </conditionalFormatting>
  <conditionalFormatting sqref="F318:F320">
    <cfRule type="expression" priority="73" dxfId="0" stopIfTrue="1">
      <formula>LEN(TRIM(F318))=0</formula>
    </cfRule>
  </conditionalFormatting>
  <conditionalFormatting sqref="C328:C330">
    <cfRule type="expression" priority="74" dxfId="0" stopIfTrue="1">
      <formula>LEN(TRIM(C328))=0</formula>
    </cfRule>
  </conditionalFormatting>
  <conditionalFormatting sqref="F328:F330">
    <cfRule type="expression" priority="75" dxfId="0" stopIfTrue="1">
      <formula>LEN(TRIM(F328))=0</formula>
    </cfRule>
  </conditionalFormatting>
  <conditionalFormatting sqref="C338 C341">
    <cfRule type="expression" priority="76" dxfId="0" stopIfTrue="1">
      <formula>LEN(TRIM(C338))=0</formula>
    </cfRule>
  </conditionalFormatting>
  <conditionalFormatting sqref="F338 F341">
    <cfRule type="expression" priority="77" dxfId="0" stopIfTrue="1">
      <formula>LEN(TRIM(F338))=0</formula>
    </cfRule>
  </conditionalFormatting>
  <conditionalFormatting sqref="C349:C350">
    <cfRule type="expression" priority="78" dxfId="0" stopIfTrue="1">
      <formula>LEN(TRIM(C349))=0</formula>
    </cfRule>
  </conditionalFormatting>
  <conditionalFormatting sqref="F349:F351">
    <cfRule type="expression" priority="79" dxfId="0" stopIfTrue="1">
      <formula>LEN(TRIM(F349))=0</formula>
    </cfRule>
  </conditionalFormatting>
  <conditionalFormatting sqref="C339">
    <cfRule type="expression" priority="80" dxfId="0" stopIfTrue="1">
      <formula>LEN(TRIM(C339))=0</formula>
    </cfRule>
  </conditionalFormatting>
  <conditionalFormatting sqref="F339">
    <cfRule type="expression" priority="81" dxfId="0" stopIfTrue="1">
      <formula>LEN(TRIM(F339))=0</formula>
    </cfRule>
  </conditionalFormatting>
  <conditionalFormatting sqref="C340">
    <cfRule type="expression" priority="82" dxfId="0" stopIfTrue="1">
      <formula>LEN(TRIM(C340))=0</formula>
    </cfRule>
  </conditionalFormatting>
  <conditionalFormatting sqref="F340">
    <cfRule type="expression" priority="83" dxfId="0" stopIfTrue="1">
      <formula>LEN(TRIM(F340))=0</formula>
    </cfRule>
  </conditionalFormatting>
  <conditionalFormatting sqref="C359:C360">
    <cfRule type="expression" priority="84" dxfId="0" stopIfTrue="1">
      <formula>LEN(TRIM(C359))=0</formula>
    </cfRule>
  </conditionalFormatting>
  <conditionalFormatting sqref="F359:F361">
    <cfRule type="expression" priority="85" dxfId="0" stopIfTrue="1">
      <formula>LEN(TRIM(F359))=0</formula>
    </cfRule>
  </conditionalFormatting>
  <conditionalFormatting sqref="C369:C371">
    <cfRule type="expression" priority="86" dxfId="0" stopIfTrue="1">
      <formula>LEN(TRIM(C369))=0</formula>
    </cfRule>
  </conditionalFormatting>
  <conditionalFormatting sqref="F369:F372">
    <cfRule type="expression" priority="87" dxfId="0" stopIfTrue="1">
      <formula>LEN(TRIM(F369))=0</formula>
    </cfRule>
  </conditionalFormatting>
  <conditionalFormatting sqref="C391:C394">
    <cfRule type="expression" priority="88" dxfId="0" stopIfTrue="1">
      <formula>LEN(TRIM(C391))=0</formula>
    </cfRule>
  </conditionalFormatting>
  <conditionalFormatting sqref="F391:F394">
    <cfRule type="expression" priority="89" dxfId="0" stopIfTrue="1">
      <formula>LEN(TRIM(F391))=0</formula>
    </cfRule>
  </conditionalFormatting>
  <conditionalFormatting sqref="C380:C382">
    <cfRule type="expression" priority="90" dxfId="0" stopIfTrue="1">
      <formula>LEN(TRIM(C380))=0</formula>
    </cfRule>
  </conditionalFormatting>
  <conditionalFormatting sqref="F380:F383">
    <cfRule type="expression" priority="91" dxfId="0" stopIfTrue="1">
      <formula>LEN(TRIM(F380))=0</formula>
    </cfRule>
  </conditionalFormatting>
  <conditionalFormatting sqref="C402:C404">
    <cfRule type="expression" priority="92" dxfId="0" stopIfTrue="1">
      <formula>LEN(TRIM(C402))=0</formula>
    </cfRule>
  </conditionalFormatting>
  <conditionalFormatting sqref="F402:F405">
    <cfRule type="expression" priority="93" dxfId="0" stopIfTrue="1">
      <formula>LEN(TRIM(F402))=0</formula>
    </cfRule>
  </conditionalFormatting>
  <conditionalFormatting sqref="C423:C426">
    <cfRule type="expression" priority="94" dxfId="0" stopIfTrue="1">
      <formula>LEN(TRIM(C423))=0</formula>
    </cfRule>
  </conditionalFormatting>
  <conditionalFormatting sqref="F423:F426">
    <cfRule type="expression" priority="95" dxfId="0" stopIfTrue="1">
      <formula>LEN(TRIM(F423))=0</formula>
    </cfRule>
  </conditionalFormatting>
  <conditionalFormatting sqref="C413:C415">
    <cfRule type="expression" priority="96" dxfId="0" stopIfTrue="1">
      <formula>LEN(TRIM(C413))=0</formula>
    </cfRule>
  </conditionalFormatting>
  <conditionalFormatting sqref="F413:F415">
    <cfRule type="expression" priority="97" dxfId="0" stopIfTrue="1">
      <formula>LEN(TRIM(F413))=0</formula>
    </cfRule>
  </conditionalFormatting>
  <conditionalFormatting sqref="C434:C436">
    <cfRule type="expression" priority="98" dxfId="0" stopIfTrue="1">
      <formula>LEN(TRIM(C434))=0</formula>
    </cfRule>
  </conditionalFormatting>
  <conditionalFormatting sqref="F434:F437">
    <cfRule type="expression" priority="99" dxfId="0" stopIfTrue="1">
      <formula>LEN(TRIM(F434))=0</formula>
    </cfRule>
  </conditionalFormatting>
  <conditionalFormatting sqref="C445:C450">
    <cfRule type="expression" priority="100" dxfId="0" stopIfTrue="1">
      <formula>LEN(TRIM(C445))=0</formula>
    </cfRule>
  </conditionalFormatting>
  <conditionalFormatting sqref="F445:F451">
    <cfRule type="expression" priority="101" dxfId="0" stopIfTrue="1">
      <formula>LEN(TRIM(F445))=0</formula>
    </cfRule>
  </conditionalFormatting>
  <conditionalFormatting sqref="C459:C460">
    <cfRule type="expression" priority="102" dxfId="0" stopIfTrue="1">
      <formula>LEN(TRIM(C459))=0</formula>
    </cfRule>
  </conditionalFormatting>
  <conditionalFormatting sqref="F459:F460">
    <cfRule type="expression" priority="103" dxfId="0" stopIfTrue="1">
      <formula>LEN(TRIM(F459))=0</formula>
    </cfRule>
  </conditionalFormatting>
  <conditionalFormatting sqref="C487:C488">
    <cfRule type="expression" priority="104" dxfId="0" stopIfTrue="1">
      <formula>LEN(TRIM(C487))=0</formula>
    </cfRule>
  </conditionalFormatting>
  <conditionalFormatting sqref="F487:F488">
    <cfRule type="expression" priority="105" dxfId="0" stopIfTrue="1">
      <formula>LEN(TRIM(F487))=0</formula>
    </cfRule>
  </conditionalFormatting>
  <conditionalFormatting sqref="C496:C497">
    <cfRule type="expression" priority="106" dxfId="0" stopIfTrue="1">
      <formula>LEN(TRIM(C496))=0</formula>
    </cfRule>
  </conditionalFormatting>
  <conditionalFormatting sqref="F496:F497">
    <cfRule type="expression" priority="107" dxfId="0" stopIfTrue="1">
      <formula>LEN(TRIM(F496))=0</formula>
    </cfRule>
  </conditionalFormatting>
  <conditionalFormatting sqref="C521">
    <cfRule type="expression" priority="108" dxfId="0" stopIfTrue="1">
      <formula>ISERROR(C521)</formula>
    </cfRule>
  </conditionalFormatting>
  <conditionalFormatting sqref="C542">
    <cfRule type="expression" priority="109" dxfId="0" stopIfTrue="1">
      <formula>LEN(TRIM(C542))=0</formula>
    </cfRule>
  </conditionalFormatting>
  <conditionalFormatting sqref="F542">
    <cfRule type="expression" priority="110" dxfId="0" stopIfTrue="1">
      <formula>LEN(TRIM(F542))=0</formula>
    </cfRule>
  </conditionalFormatting>
  <conditionalFormatting sqref="C534">
    <cfRule type="expression" priority="111" dxfId="0" stopIfTrue="1">
      <formula>ISERROR(C534)</formula>
    </cfRule>
  </conditionalFormatting>
  <conditionalFormatting sqref="C543">
    <cfRule type="expression" priority="112" dxfId="0" stopIfTrue="1">
      <formula>ISERROR(C543)</formula>
    </cfRule>
  </conditionalFormatting>
  <conditionalFormatting sqref="C551:C557">
    <cfRule type="expression" priority="113" dxfId="0" stopIfTrue="1">
      <formula>LEN(TRIM(C551))=0</formula>
    </cfRule>
  </conditionalFormatting>
  <conditionalFormatting sqref="F551:F557">
    <cfRule type="expression" priority="114" dxfId="0" stopIfTrue="1">
      <formula>LEN(TRIM(F551))=0</formula>
    </cfRule>
  </conditionalFormatting>
  <conditionalFormatting sqref="C576">
    <cfRule type="expression" priority="115" dxfId="0" stopIfTrue="1">
      <formula>LEN(TRIM(C576))=0</formula>
    </cfRule>
  </conditionalFormatting>
  <conditionalFormatting sqref="F576">
    <cfRule type="expression" priority="116" dxfId="0" stopIfTrue="1">
      <formula>LEN(TRIM(F576))=0</formula>
    </cfRule>
  </conditionalFormatting>
  <conditionalFormatting sqref="C566:C568">
    <cfRule type="expression" priority="117" dxfId="0" stopIfTrue="1">
      <formula>LEN(TRIM(C566))=0</formula>
    </cfRule>
  </conditionalFormatting>
  <conditionalFormatting sqref="F566:F568">
    <cfRule type="expression" priority="118" dxfId="0" stopIfTrue="1">
      <formula>LEN(TRIM(F566))=0</formula>
    </cfRule>
  </conditionalFormatting>
  <conditionalFormatting sqref="F585">
    <cfRule type="expression" priority="119" dxfId="0" stopIfTrue="1">
      <formula>LEN(TRIM(F585))=0</formula>
    </cfRule>
  </conditionalFormatting>
  <conditionalFormatting sqref="F577">
    <cfRule type="expression" priority="120" dxfId="0" stopIfTrue="1">
      <formula>LEN(TRIM(F577))=0</formula>
    </cfRule>
  </conditionalFormatting>
  <conditionalFormatting sqref="C585">
    <cfRule type="expression" priority="121" dxfId="0" stopIfTrue="1">
      <formula>LEN(TRIM(C585))=0</formula>
    </cfRule>
  </conditionalFormatting>
  <conditionalFormatting sqref="F586">
    <cfRule type="expression" priority="122" dxfId="0" stopIfTrue="1">
      <formula>LEN(TRIM(F586))=0</formula>
    </cfRule>
  </conditionalFormatting>
  <conditionalFormatting sqref="C603:C611">
    <cfRule type="expression" priority="123" dxfId="0" stopIfTrue="1">
      <formula>LEN(TRIM(C603))=0</formula>
    </cfRule>
  </conditionalFormatting>
  <conditionalFormatting sqref="F603:F611">
    <cfRule type="expression" priority="124" dxfId="0" stopIfTrue="1">
      <formula>LEN(TRIM(F603))=0</formula>
    </cfRule>
  </conditionalFormatting>
  <conditionalFormatting sqref="F595">
    <cfRule type="expression" priority="125" dxfId="0" stopIfTrue="1">
      <formula>LEN(TRIM(F595))=0</formula>
    </cfRule>
  </conditionalFormatting>
  <conditionalFormatting sqref="C619">
    <cfRule type="expression" priority="126" dxfId="0" stopIfTrue="1">
      <formula>LEN(TRIM(C619))=0</formula>
    </cfRule>
  </conditionalFormatting>
  <conditionalFormatting sqref="F619">
    <cfRule type="expression" priority="127" dxfId="0" stopIfTrue="1">
      <formula>LEN(TRIM(F619))=0</formula>
    </cfRule>
  </conditionalFormatting>
  <conditionalFormatting sqref="C628">
    <cfRule type="expression" priority="128" dxfId="0" stopIfTrue="1">
      <formula>LEN(TRIM(C628))=0</formula>
    </cfRule>
  </conditionalFormatting>
  <conditionalFormatting sqref="F628">
    <cfRule type="expression" priority="129" dxfId="0" stopIfTrue="1">
      <formula>LEN(TRIM(F628))=0</formula>
    </cfRule>
  </conditionalFormatting>
  <conditionalFormatting sqref="F620">
    <cfRule type="expression" priority="130" dxfId="0" stopIfTrue="1">
      <formula>LEN(TRIM(F620))=0</formula>
    </cfRule>
  </conditionalFormatting>
  <conditionalFormatting sqref="C636:C637">
    <cfRule type="expression" priority="131" dxfId="0" stopIfTrue="1">
      <formula>LEN(TRIM(C636))=0</formula>
    </cfRule>
  </conditionalFormatting>
  <conditionalFormatting sqref="F636:F637">
    <cfRule type="expression" priority="132" dxfId="0" stopIfTrue="1">
      <formula>LEN(TRIM(F636))=0</formula>
    </cfRule>
  </conditionalFormatting>
  <conditionalFormatting sqref="C645:C652">
    <cfRule type="expression" priority="133" dxfId="0" stopIfTrue="1">
      <formula>LEN(TRIM(C645))=0</formula>
    </cfRule>
  </conditionalFormatting>
  <conditionalFormatting sqref="F645:F652">
    <cfRule type="expression" priority="134" dxfId="0" stopIfTrue="1">
      <formula>LEN(TRIM(F645))=0</formula>
    </cfRule>
  </conditionalFormatting>
  <conditionalFormatting sqref="C660:C661">
    <cfRule type="expression" priority="135" dxfId="0" stopIfTrue="1">
      <formula>LEN(TRIM(C660))=0</formula>
    </cfRule>
  </conditionalFormatting>
  <conditionalFormatting sqref="F660:F661">
    <cfRule type="expression" priority="136" dxfId="0" stopIfTrue="1">
      <formula>LEN(TRIM(F660))=0</formula>
    </cfRule>
  </conditionalFormatting>
  <conditionalFormatting sqref="C669:C670">
    <cfRule type="expression" priority="137" dxfId="0" stopIfTrue="1">
      <formula>LEN(TRIM(C669))=0</formula>
    </cfRule>
  </conditionalFormatting>
  <conditionalFormatting sqref="F669:F671">
    <cfRule type="expression" priority="138" dxfId="0" stopIfTrue="1">
      <formula>LEN(TRIM(F669))=0</formula>
    </cfRule>
  </conditionalFormatting>
  <conditionalFormatting sqref="C679:C682">
    <cfRule type="expression" priority="139" dxfId="0" stopIfTrue="1">
      <formula>LEN(TRIM(C679))=0</formula>
    </cfRule>
  </conditionalFormatting>
  <conditionalFormatting sqref="F679:F683">
    <cfRule type="expression" priority="140" dxfId="0" stopIfTrue="1">
      <formula>LEN(TRIM(F679))=0</formula>
    </cfRule>
  </conditionalFormatting>
  <conditionalFormatting sqref="F695 F691:F692">
    <cfRule type="expression" priority="141" dxfId="0" stopIfTrue="1">
      <formula>LEN(TRIM(F691))=0</formula>
    </cfRule>
  </conditionalFormatting>
  <conditionalFormatting sqref="D707">
    <cfRule type="expression" priority="142" dxfId="0" stopIfTrue="1">
      <formula>LEN(TRIM(D707))=0</formula>
    </cfRule>
  </conditionalFormatting>
  <conditionalFormatting sqref="F703:F707">
    <cfRule type="expression" priority="143" dxfId="0" stopIfTrue="1">
      <formula>LEN(TRIM(F703))=0</formula>
    </cfRule>
  </conditionalFormatting>
  <conditionalFormatting sqref="C691:C694">
    <cfRule type="expression" priority="144" dxfId="0" stopIfTrue="1">
      <formula>LEN(TRIM(C691))=0</formula>
    </cfRule>
  </conditionalFormatting>
  <conditionalFormatting sqref="F693:F694">
    <cfRule type="expression" priority="145" dxfId="0" stopIfTrue="1">
      <formula>LEN(TRIM(F693))=0</formula>
    </cfRule>
  </conditionalFormatting>
  <conditionalFormatting sqref="C715:C719">
    <cfRule type="expression" priority="146" dxfId="0" stopIfTrue="1">
      <formula>LEN(TRIM(C715))=0</formula>
    </cfRule>
  </conditionalFormatting>
  <conditionalFormatting sqref="F715:F719">
    <cfRule type="expression" priority="147" dxfId="0" stopIfTrue="1">
      <formula>LEN(TRIM(F715))=0</formula>
    </cfRule>
  </conditionalFormatting>
  <conditionalFormatting sqref="C703:C706">
    <cfRule type="expression" priority="148" dxfId="0" stopIfTrue="1">
      <formula>LEN(TRIM(C703))=0</formula>
    </cfRule>
  </conditionalFormatting>
  <conditionalFormatting sqref="C594">
    <cfRule type="expression" priority="149" dxfId="0" stopIfTrue="1">
      <formula>LEN(TRIM(C594))=0</formula>
    </cfRule>
  </conditionalFormatting>
  <conditionalFormatting sqref="F594">
    <cfRule type="expression" priority="150" dxfId="0" stopIfTrue="1">
      <formula>LEN(TRIM(F594))=0</formula>
    </cfRule>
  </conditionalFormatting>
  <conditionalFormatting sqref="C727">
    <cfRule type="expression" priority="151" dxfId="0" stopIfTrue="1">
      <formula>LEN(TRIM(C727))=0</formula>
    </cfRule>
  </conditionalFormatting>
  <conditionalFormatting sqref="F727">
    <cfRule type="expression" priority="152" dxfId="0" stopIfTrue="1">
      <formula>LEN(TRIM(F727))=0</formula>
    </cfRule>
  </conditionalFormatting>
  <conditionalFormatting sqref="C735:C739">
    <cfRule type="expression" priority="153" dxfId="0" stopIfTrue="1">
      <formula>LEN(TRIM(C735))=0</formula>
    </cfRule>
  </conditionalFormatting>
  <conditionalFormatting sqref="F735:F739">
    <cfRule type="expression" priority="154" dxfId="0" stopIfTrue="1">
      <formula>LEN(TRIM(F735))=0</formula>
    </cfRule>
  </conditionalFormatting>
  <conditionalFormatting sqref="C747">
    <cfRule type="expression" priority="155" dxfId="0" stopIfTrue="1">
      <formula>LEN(TRIM(C747))=0</formula>
    </cfRule>
  </conditionalFormatting>
  <conditionalFormatting sqref="F747:F748">
    <cfRule type="expression" priority="156" dxfId="0" stopIfTrue="1">
      <formula>LEN(TRIM(F747))=0</formula>
    </cfRule>
  </conditionalFormatting>
  <conditionalFormatting sqref="C756:C757">
    <cfRule type="expression" priority="157" dxfId="0" stopIfTrue="1">
      <formula>LEN(TRIM(C756))=0</formula>
    </cfRule>
  </conditionalFormatting>
  <conditionalFormatting sqref="F756:F758">
    <cfRule type="expression" priority="158" dxfId="0" stopIfTrue="1">
      <formula>LEN(TRIM(F756))=0</formula>
    </cfRule>
  </conditionalFormatting>
  <conditionalFormatting sqref="C766:C768">
    <cfRule type="expression" priority="159" dxfId="0" stopIfTrue="1">
      <formula>LEN(TRIM(C766))=0</formula>
    </cfRule>
  </conditionalFormatting>
  <conditionalFormatting sqref="F766:F769">
    <cfRule type="expression" priority="160" dxfId="0" stopIfTrue="1">
      <formula>LEN(TRIM(F766))=0</formula>
    </cfRule>
  </conditionalFormatting>
  <conditionalFormatting sqref="F777">
    <cfRule type="expression" priority="161" dxfId="0" stopIfTrue="1">
      <formula>LEN(TRIM(F777))=0</formula>
    </cfRule>
  </conditionalFormatting>
  <conditionalFormatting sqref="C787:C788">
    <cfRule type="expression" priority="162" dxfId="0" stopIfTrue="1">
      <formula>LEN(TRIM(C787))=0</formula>
    </cfRule>
  </conditionalFormatting>
  <conditionalFormatting sqref="F785:F789">
    <cfRule type="expression" priority="163" dxfId="0" stopIfTrue="1">
      <formula>LEN(TRIM(F785))=0</formula>
    </cfRule>
  </conditionalFormatting>
  <conditionalFormatting sqref="C777">
    <cfRule type="expression" priority="164" dxfId="0" stopIfTrue="1">
      <formula>LEN(TRIM(C777))=0</formula>
    </cfRule>
  </conditionalFormatting>
  <conditionalFormatting sqref="C801">
    <cfRule type="expression" priority="165" dxfId="0" stopIfTrue="1">
      <formula>LEN(TRIM(C801))=0</formula>
    </cfRule>
  </conditionalFormatting>
  <conditionalFormatting sqref="F801">
    <cfRule type="expression" priority="166" dxfId="0" stopIfTrue="1">
      <formula>LEN(TRIM(F801))=0</formula>
    </cfRule>
  </conditionalFormatting>
  <conditionalFormatting sqref="C785:C786">
    <cfRule type="expression" priority="167" dxfId="0" stopIfTrue="1">
      <formula>LEN(TRIM(C785))=0</formula>
    </cfRule>
  </conditionalFormatting>
  <conditionalFormatting sqref="F809:F810">
    <cfRule type="expression" priority="168" dxfId="0" stopIfTrue="1">
      <formula>LEN(TRIM(F809))=0</formula>
    </cfRule>
  </conditionalFormatting>
  <conditionalFormatting sqref="C799:C800">
    <cfRule type="expression" priority="169" dxfId="0" stopIfTrue="1">
      <formula>LEN(TRIM(C799))=0</formula>
    </cfRule>
  </conditionalFormatting>
  <conditionalFormatting sqref="C797:C798">
    <cfRule type="expression" priority="170" dxfId="0" stopIfTrue="1">
      <formula>LEN(TRIM(C797))=0</formula>
    </cfRule>
  </conditionalFormatting>
  <conditionalFormatting sqref="F797:F800">
    <cfRule type="expression" priority="171" dxfId="0" stopIfTrue="1">
      <formula>LEN(TRIM(F797))=0</formula>
    </cfRule>
  </conditionalFormatting>
  <conditionalFormatting sqref="C820">
    <cfRule type="expression" priority="172" dxfId="0" stopIfTrue="1">
      <formula>LEN(TRIM(C820))=0</formula>
    </cfRule>
  </conditionalFormatting>
  <conditionalFormatting sqref="F818:F820">
    <cfRule type="expression" priority="173" dxfId="0" stopIfTrue="1">
      <formula>LEN(TRIM(F818))=0</formula>
    </cfRule>
  </conditionalFormatting>
  <conditionalFormatting sqref="C809:C810">
    <cfRule type="expression" priority="174" dxfId="0" stopIfTrue="1">
      <formula>LEN(TRIM(C809))=0</formula>
    </cfRule>
  </conditionalFormatting>
  <conditionalFormatting sqref="C830">
    <cfRule type="expression" priority="175" dxfId="0" stopIfTrue="1">
      <formula>LEN(TRIM(C830))=0</formula>
    </cfRule>
  </conditionalFormatting>
  <conditionalFormatting sqref="F828:F830">
    <cfRule type="expression" priority="176" dxfId="0" stopIfTrue="1">
      <formula>LEN(TRIM(F828))=0</formula>
    </cfRule>
  </conditionalFormatting>
  <conditionalFormatting sqref="C818:C819">
    <cfRule type="expression" priority="177" dxfId="0" stopIfTrue="1">
      <formula>LEN(TRIM(C818))=0</formula>
    </cfRule>
  </conditionalFormatting>
  <conditionalFormatting sqref="C838:C839">
    <cfRule type="expression" priority="178" dxfId="0" stopIfTrue="1">
      <formula>LEN(TRIM(C838))=0</formula>
    </cfRule>
  </conditionalFormatting>
  <conditionalFormatting sqref="F838:F839">
    <cfRule type="expression" priority="179" dxfId="0" stopIfTrue="1">
      <formula>LEN(TRIM(F838))=0</formula>
    </cfRule>
  </conditionalFormatting>
  <conditionalFormatting sqref="C828:C829">
    <cfRule type="expression" priority="180" dxfId="0" stopIfTrue="1">
      <formula>LEN(TRIM(C828))=0</formula>
    </cfRule>
  </conditionalFormatting>
  <conditionalFormatting sqref="F27">
    <cfRule type="expression" priority="181" dxfId="0" stopIfTrue="1">
      <formula>LEN(TRIM(F27))=0</formula>
    </cfRule>
  </conditionalFormatting>
  <printOptions/>
  <pageMargins left="0.7875" right="0.19652777777777777" top="0.39375" bottom="0.7875" header="0.5118055555555555" footer="0.31527777777777777"/>
  <pageSetup horizontalDpi="300" verticalDpi="300" orientation="portrait" paperSize="9" scale="66"/>
  <headerFooter alignWithMargins="0">
    <oddFooter>&amp;LCPU's - Reforma do estacionamento, paisagismo, sistema de irrigação, adequação do SPCI e demais intervenções complementares
Campus de Timóteo do CEFET-MG&amp;RPágina &amp;P de &amp;N</oddFooter>
  </headerFooter>
  <rowBreaks count="12" manualBreakCount="12">
    <brk id="44" max="255" man="1"/>
    <brk id="76" max="255" man="1"/>
    <brk id="109" max="255" man="1"/>
    <brk id="149" max="255" man="1"/>
    <brk id="195" max="255" man="1"/>
    <brk id="366" max="255" man="1"/>
    <brk id="456" max="255" man="1"/>
    <brk id="502" max="255" man="1"/>
    <brk id="600" max="255" man="1"/>
    <brk id="633" max="255" man="1"/>
    <brk id="724" max="255" man="1"/>
    <brk id="82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railander.silva</dc:creator>
  <cp:keywords/>
  <dc:description/>
  <cp:lastModifiedBy>usuario</cp:lastModifiedBy>
  <cp:lastPrinted>2022-12-14T19:18:41Z</cp:lastPrinted>
  <dcterms:created xsi:type="dcterms:W3CDTF">2013-01-22T17:58:49Z</dcterms:created>
  <dcterms:modified xsi:type="dcterms:W3CDTF">2022-12-14T19:19:30Z</dcterms:modified>
  <cp:category/>
  <cp:version/>
  <cp:contentType/>
  <cp:contentStatus/>
</cp:coreProperties>
</file>